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\\eagle.slenergo.ru\PTO\Рабочая ЭЭ\15. Балансы\Балансы 2025 Пельвож\"/>
    </mc:Choice>
  </mc:AlternateContent>
  <xr:revisionPtr revIDLastSave="0" documentId="13_ncr:1_{2B9FC66E-F848-4C76-8BF5-3E843BD21353}" xr6:coauthVersionLast="45" xr6:coauthVersionMax="45" xr10:uidLastSave="{00000000-0000-0000-0000-000000000000}"/>
  <bookViews>
    <workbookView xWindow="-120" yWindow="-120" windowWidth="29040" windowHeight="15840" xr2:uid="{9F90250D-D970-445E-A4F6-694E5562CA0F}"/>
  </bookViews>
  <sheets>
    <sheet name="Титульный" sheetId="1" r:id="rId1"/>
    <sheet name="Форма 3.1" sheetId="2" r:id="rId2"/>
    <sheet name="Форма 3.1 (кварталы)" sheetId="3" r:id="rId3"/>
    <sheet name="Субабоненты" sheetId="5" r:id="rId4"/>
    <sheet name="Лист4" sheetId="4" r:id="rId5"/>
  </sheets>
  <externalReferences>
    <externalReference r:id="rId6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CheckBC_List04">#REF!</definedName>
    <definedName name="CheckValue_List04">#REF!</definedName>
    <definedName name="deleteRow_3">#REF!</definedName>
    <definedName name="god">[1]Титульный!$F$9</definedName>
    <definedName name="HTML_CodePage" hidden="1">1251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Title" hidden="1">"Климатические зоны Томской области"</definedName>
    <definedName name="org">[1]Титульный!$F$13</definedName>
    <definedName name="pIns_List04">#REF!</definedName>
    <definedName name="region_name">[1]Титульный!$F$7</definedName>
    <definedName name="regionException_flag">[1]TEHSHEET!$E$2</definedName>
    <definedName name="SAPBEXrevision" hidden="1">1</definedName>
    <definedName name="SAPBEXsysID" hidden="1">"BW2"</definedName>
    <definedName name="SAPBEXwbID" hidden="1">"479GSPMTNK9HM4ZSIVE5K2SH6"</definedName>
    <definedName name="TOTAL">P1_TOTAL,P2_TOTAL,P3_TOTAL,P4_TOTAL,P5_TOTAL</definedName>
    <definedName name="version">[1]Инструкция!$B$3</definedName>
    <definedName name="year_list">[1]TEHSHEET!$B$2:$B$14</definedName>
    <definedName name="_xlnm.Print_Area" localSheetId="3">Субабоненты!$A$1:$W$39</definedName>
    <definedName name="_xlnm.Print_Area" localSheetId="2">'Форма 3.1 (кварталы)'!$A$1:$M$42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" i="5" l="1"/>
  <c r="K2" i="5" s="1"/>
  <c r="K11" i="5" s="1"/>
  <c r="D9" i="5"/>
  <c r="W16" i="5" l="1"/>
  <c r="F16" i="5"/>
  <c r="F13" i="5"/>
  <c r="Q13" i="5" s="1"/>
  <c r="P33" i="2" s="1"/>
  <c r="T2" i="5"/>
  <c r="T11" i="5" s="1"/>
  <c r="P2" i="5"/>
  <c r="P11" i="5" s="1"/>
  <c r="N2" i="5"/>
  <c r="N11" i="5" s="1"/>
  <c r="J2" i="5"/>
  <c r="J11" i="5" s="1"/>
  <c r="H2" i="5"/>
  <c r="H11" i="5" s="1"/>
  <c r="S2" i="5"/>
  <c r="S11" i="5" s="1"/>
  <c r="D8" i="3"/>
  <c r="J10" i="3"/>
  <c r="I10" i="3"/>
  <c r="H10" i="3"/>
  <c r="G10" i="3"/>
  <c r="E1" i="3"/>
  <c r="J32" i="3"/>
  <c r="I32" i="3"/>
  <c r="H32" i="3"/>
  <c r="G32" i="3"/>
  <c r="G29" i="3"/>
  <c r="H29" i="3"/>
  <c r="I29" i="3"/>
  <c r="J29" i="3"/>
  <c r="G30" i="3"/>
  <c r="H30" i="3"/>
  <c r="I30" i="3"/>
  <c r="J30" i="3"/>
  <c r="J28" i="3"/>
  <c r="I28" i="3"/>
  <c r="H28" i="3"/>
  <c r="G28" i="3"/>
  <c r="G25" i="3"/>
  <c r="H25" i="3"/>
  <c r="I25" i="3"/>
  <c r="J25" i="3"/>
  <c r="G26" i="3"/>
  <c r="H26" i="3"/>
  <c r="I26" i="3"/>
  <c r="J26" i="3"/>
  <c r="G24" i="3"/>
  <c r="H24" i="3"/>
  <c r="I24" i="3"/>
  <c r="J24" i="3"/>
  <c r="J23" i="3"/>
  <c r="I23" i="3"/>
  <c r="H23" i="3"/>
  <c r="G23" i="3"/>
  <c r="G27" i="3"/>
  <c r="J21" i="3"/>
  <c r="I21" i="3"/>
  <c r="H21" i="3"/>
  <c r="G21" i="3"/>
  <c r="J20" i="3"/>
  <c r="I20" i="3"/>
  <c r="H20" i="3"/>
  <c r="G20" i="3"/>
  <c r="J19" i="3"/>
  <c r="I19" i="3"/>
  <c r="H19" i="3"/>
  <c r="G19" i="3"/>
  <c r="G17" i="3"/>
  <c r="H16" i="3"/>
  <c r="I16" i="3"/>
  <c r="J16" i="3"/>
  <c r="H17" i="3"/>
  <c r="I17" i="3"/>
  <c r="J17" i="3"/>
  <c r="G16" i="3"/>
  <c r="G15" i="3"/>
  <c r="J15" i="3"/>
  <c r="J18" i="3" s="1"/>
  <c r="I15" i="3"/>
  <c r="H15" i="3"/>
  <c r="H18" i="3" s="1"/>
  <c r="H14" i="3"/>
  <c r="I14" i="3"/>
  <c r="I18" i="3" s="1"/>
  <c r="J14" i="3"/>
  <c r="G14" i="3"/>
  <c r="D8" i="2"/>
  <c r="E1" i="2"/>
  <c r="U2" i="2" s="1"/>
  <c r="U10" i="2" s="1"/>
  <c r="E33" i="3"/>
  <c r="J27" i="3"/>
  <c r="G18" i="3"/>
  <c r="J2" i="3"/>
  <c r="E33" i="2"/>
  <c r="U32" i="2"/>
  <c r="T32" i="2"/>
  <c r="S32" i="2"/>
  <c r="R32" i="2"/>
  <c r="Q32" i="2"/>
  <c r="P32" i="2"/>
  <c r="O32" i="2"/>
  <c r="N32" i="2"/>
  <c r="M32" i="2"/>
  <c r="L32" i="2"/>
  <c r="K32" i="2"/>
  <c r="J32" i="2"/>
  <c r="V32" i="2" s="1"/>
  <c r="H32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U29" i="2"/>
  <c r="T29" i="2"/>
  <c r="S29" i="2"/>
  <c r="R29" i="2"/>
  <c r="Q29" i="2"/>
  <c r="P29" i="2"/>
  <c r="O29" i="2"/>
  <c r="N29" i="2"/>
  <c r="V29" i="2" s="1"/>
  <c r="M29" i="2"/>
  <c r="L29" i="2"/>
  <c r="K29" i="2"/>
  <c r="J29" i="2"/>
  <c r="I29" i="2"/>
  <c r="H29" i="2"/>
  <c r="G29" i="2"/>
  <c r="U26" i="2"/>
  <c r="U24" i="2" s="1"/>
  <c r="T26" i="2"/>
  <c r="S26" i="2"/>
  <c r="R26" i="2"/>
  <c r="Q26" i="2"/>
  <c r="P26" i="2"/>
  <c r="O26" i="2"/>
  <c r="N26" i="2"/>
  <c r="N24" i="2" s="1"/>
  <c r="M26" i="2"/>
  <c r="M24" i="2" s="1"/>
  <c r="L26" i="2"/>
  <c r="K26" i="2"/>
  <c r="J26" i="2"/>
  <c r="I26" i="2"/>
  <c r="H26" i="2"/>
  <c r="G26" i="2"/>
  <c r="V25" i="2"/>
  <c r="T24" i="2"/>
  <c r="S24" i="2"/>
  <c r="R24" i="2"/>
  <c r="Q24" i="2"/>
  <c r="P24" i="2"/>
  <c r="O24" i="2"/>
  <c r="L24" i="2"/>
  <c r="K24" i="2"/>
  <c r="J24" i="2"/>
  <c r="I24" i="2"/>
  <c r="H24" i="2"/>
  <c r="G24" i="2"/>
  <c r="U23" i="2"/>
  <c r="T23" i="2"/>
  <c r="T28" i="2" s="1"/>
  <c r="S23" i="2"/>
  <c r="S28" i="2" s="1"/>
  <c r="R23" i="2"/>
  <c r="R28" i="2" s="1"/>
  <c r="Q23" i="2"/>
  <c r="Q28" i="2" s="1"/>
  <c r="P23" i="2"/>
  <c r="P28" i="2" s="1"/>
  <c r="O23" i="2"/>
  <c r="O28" i="2" s="1"/>
  <c r="N23" i="2"/>
  <c r="V23" i="2" s="1"/>
  <c r="M23" i="2"/>
  <c r="L23" i="2"/>
  <c r="L28" i="2" s="1"/>
  <c r="K23" i="2"/>
  <c r="K28" i="2" s="1"/>
  <c r="J23" i="2"/>
  <c r="J28" i="2" s="1"/>
  <c r="I23" i="2"/>
  <c r="I28" i="2" s="1"/>
  <c r="H23" i="2"/>
  <c r="H28" i="2" s="1"/>
  <c r="G23" i="2"/>
  <c r="G27" i="2" s="1"/>
  <c r="V21" i="2"/>
  <c r="V20" i="2"/>
  <c r="R19" i="2"/>
  <c r="Q19" i="2"/>
  <c r="P19" i="2"/>
  <c r="J19" i="2"/>
  <c r="V19" i="2" s="1"/>
  <c r="I19" i="2"/>
  <c r="H19" i="2"/>
  <c r="R18" i="2"/>
  <c r="Q18" i="2"/>
  <c r="P18" i="2"/>
  <c r="J18" i="2"/>
  <c r="I18" i="2"/>
  <c r="H18" i="2"/>
  <c r="V17" i="2"/>
  <c r="V16" i="2"/>
  <c r="U15" i="2"/>
  <c r="U19" i="2" s="1"/>
  <c r="T15" i="2"/>
  <c r="T19" i="2" s="1"/>
  <c r="S15" i="2"/>
  <c r="S19" i="2" s="1"/>
  <c r="R15" i="2"/>
  <c r="Q15" i="2"/>
  <c r="P15" i="2"/>
  <c r="O15" i="2"/>
  <c r="O19" i="2" s="1"/>
  <c r="N15" i="2"/>
  <c r="N19" i="2" s="1"/>
  <c r="M15" i="2"/>
  <c r="M19" i="2" s="1"/>
  <c r="L15" i="2"/>
  <c r="L19" i="2" s="1"/>
  <c r="K15" i="2"/>
  <c r="K19" i="2" s="1"/>
  <c r="J15" i="2"/>
  <c r="V15" i="2" s="1"/>
  <c r="I15" i="2"/>
  <c r="H15" i="2"/>
  <c r="G15" i="2"/>
  <c r="G19" i="2" s="1"/>
  <c r="V14" i="2"/>
  <c r="M2" i="2"/>
  <c r="M10" i="2" s="1"/>
  <c r="T2" i="2"/>
  <c r="T10" i="2" s="1"/>
  <c r="F4" i="1"/>
  <c r="Q2" i="5" l="1"/>
  <c r="Q11" i="5" s="1"/>
  <c r="H13" i="5"/>
  <c r="G33" i="2" s="1"/>
  <c r="G31" i="2" s="1"/>
  <c r="R2" i="5"/>
  <c r="R11" i="5" s="1"/>
  <c r="J13" i="5"/>
  <c r="I33" i="2" s="1"/>
  <c r="I31" i="2" s="1"/>
  <c r="L13" i="5"/>
  <c r="K33" i="2" s="1"/>
  <c r="K31" i="2" s="1"/>
  <c r="I2" i="5"/>
  <c r="I11" i="5" s="1"/>
  <c r="V2" i="5"/>
  <c r="V11" i="5" s="1"/>
  <c r="P13" i="5"/>
  <c r="O33" i="2" s="1"/>
  <c r="O31" i="2" s="1"/>
  <c r="P31" i="2"/>
  <c r="R13" i="5"/>
  <c r="Q33" i="2" s="1"/>
  <c r="L2" i="5"/>
  <c r="L11" i="5" s="1"/>
  <c r="T13" i="5"/>
  <c r="S33" i="2" s="1"/>
  <c r="S31" i="2" s="1"/>
  <c r="M2" i="5"/>
  <c r="M11" i="5" s="1"/>
  <c r="U2" i="5"/>
  <c r="U11" i="5" s="1"/>
  <c r="K13" i="5"/>
  <c r="J33" i="2" s="1"/>
  <c r="S13" i="5"/>
  <c r="R33" i="2" s="1"/>
  <c r="R31" i="2" s="1"/>
  <c r="O2" i="5"/>
  <c r="O11" i="5" s="1"/>
  <c r="W2" i="5"/>
  <c r="W11" i="5" s="1"/>
  <c r="M13" i="5"/>
  <c r="L33" i="2" s="1"/>
  <c r="L31" i="2" s="1"/>
  <c r="U13" i="5"/>
  <c r="T33" i="2" s="1"/>
  <c r="T31" i="2" s="1"/>
  <c r="N13" i="5"/>
  <c r="M33" i="2" s="1"/>
  <c r="V13" i="5"/>
  <c r="U33" i="2" s="1"/>
  <c r="U31" i="2" s="1"/>
  <c r="O13" i="5"/>
  <c r="N33" i="2" s="1"/>
  <c r="N31" i="2" s="1"/>
  <c r="W13" i="5"/>
  <c r="V33" i="2" s="1"/>
  <c r="V31" i="2" s="1"/>
  <c r="I13" i="5"/>
  <c r="H33" i="2" s="1"/>
  <c r="H31" i="2" s="1"/>
  <c r="H27" i="3"/>
  <c r="I27" i="3"/>
  <c r="G2" i="3"/>
  <c r="H2" i="3"/>
  <c r="I2" i="3"/>
  <c r="M28" i="2"/>
  <c r="M27" i="2"/>
  <c r="V18" i="2"/>
  <c r="U28" i="2"/>
  <c r="V28" i="2" s="1"/>
  <c r="U27" i="2"/>
  <c r="N27" i="2"/>
  <c r="N28" i="2"/>
  <c r="N2" i="2"/>
  <c r="N10" i="2" s="1"/>
  <c r="O27" i="2"/>
  <c r="G2" i="2"/>
  <c r="G10" i="2" s="1"/>
  <c r="O2" i="2"/>
  <c r="O10" i="2" s="1"/>
  <c r="K18" i="2"/>
  <c r="S18" i="2"/>
  <c r="H27" i="2"/>
  <c r="P27" i="2"/>
  <c r="V26" i="2"/>
  <c r="V24" i="2" s="1"/>
  <c r="V27" i="2" s="1"/>
  <c r="H2" i="2"/>
  <c r="H10" i="2" s="1"/>
  <c r="P2" i="2"/>
  <c r="P10" i="2" s="1"/>
  <c r="L18" i="2"/>
  <c r="T18" i="2"/>
  <c r="I27" i="2"/>
  <c r="Q27" i="2"/>
  <c r="G28" i="2"/>
  <c r="I2" i="2"/>
  <c r="I10" i="2" s="1"/>
  <c r="Q2" i="2"/>
  <c r="Q10" i="2" s="1"/>
  <c r="M18" i="2"/>
  <c r="U18" i="2"/>
  <c r="J27" i="2"/>
  <c r="R27" i="2"/>
  <c r="V2" i="2"/>
  <c r="V10" i="2" s="1"/>
  <c r="J2" i="2"/>
  <c r="J10" i="2" s="1"/>
  <c r="R2" i="2"/>
  <c r="R10" i="2" s="1"/>
  <c r="N18" i="2"/>
  <c r="K27" i="2"/>
  <c r="S27" i="2"/>
  <c r="K2" i="2"/>
  <c r="K10" i="2" s="1"/>
  <c r="S2" i="2"/>
  <c r="S10" i="2" s="1"/>
  <c r="G18" i="2"/>
  <c r="O18" i="2"/>
  <c r="L27" i="2"/>
  <c r="T27" i="2"/>
  <c r="L2" i="2"/>
  <c r="L10" i="2" s="1"/>
  <c r="I33" i="3" l="1"/>
  <c r="G33" i="3"/>
  <c r="J31" i="2"/>
  <c r="G31" i="3" s="1"/>
  <c r="J31" i="3"/>
  <c r="H33" i="3"/>
  <c r="M31" i="2"/>
  <c r="H31" i="3" s="1"/>
  <c r="J33" i="3"/>
  <c r="Q31" i="2"/>
  <c r="I31" i="3" s="1"/>
</calcChain>
</file>

<file path=xl/sharedStrings.xml><?xml version="1.0" encoding="utf-8"?>
<sst xmlns="http://schemas.openxmlformats.org/spreadsheetml/2006/main" count="328" uniqueCount="122">
  <si>
    <t>Предложения сетевой компании по технологическому расходу электроэнергии (мощности) - потерям в электрических сетях (организация)</t>
  </si>
  <si>
    <t>Субъект РФ</t>
  </si>
  <si>
    <t>Ямало-Ненецкий автономный округ</t>
  </si>
  <si>
    <t>Период регулирования</t>
  </si>
  <si>
    <t>По данным участника</t>
  </si>
  <si>
    <t>участник</t>
  </si>
  <si>
    <t>Наименование организации</t>
  </si>
  <si>
    <t>АО "Салехардэнерго"</t>
  </si>
  <si>
    <t>ИНН</t>
  </si>
  <si>
    <t>8901030855</t>
  </si>
  <si>
    <t>КПП</t>
  </si>
  <si>
    <t>890101001</t>
  </si>
  <si>
    <t>Идентификатор реестра СПБ</t>
  </si>
  <si>
    <t>28979025</t>
  </si>
  <si>
    <t>Год окончания учета в СПБ</t>
  </si>
  <si>
    <t/>
  </si>
  <si>
    <t>Адрес организации</t>
  </si>
  <si>
    <t>Юридический адрес</t>
  </si>
  <si>
    <t>ЯНАО, 629007 г. Салехард, ул. Свердлова, д. 39</t>
  </si>
  <si>
    <t>Почтовый адрес</t>
  </si>
  <si>
    <t>ЯНАО, 629007 г. Салехард, ул. Свердлова, д. 39, а/я 42</t>
  </si>
  <si>
    <t>Руководитель</t>
  </si>
  <si>
    <t>Фамилия, имя, отчество</t>
  </si>
  <si>
    <t xml:space="preserve"> Стратий Юрий Фёдорович</t>
  </si>
  <si>
    <t>Должность</t>
  </si>
  <si>
    <t>Генеральный директор</t>
  </si>
  <si>
    <t>Главный бухгалтер</t>
  </si>
  <si>
    <t>Мирун Елена Геннадьевна</t>
  </si>
  <si>
    <t>Должностное лицо, ответственное за составление формы</t>
  </si>
  <si>
    <t>Павленко Олеся Сергеевна</t>
  </si>
  <si>
    <t>инженер-энергетик  ПТО</t>
  </si>
  <si>
    <t>Контактный телефон</t>
  </si>
  <si>
    <t>8(34922) 5-44-17</t>
  </si>
  <si>
    <t>e-mail</t>
  </si>
  <si>
    <t>Pavlenko@slenergo.ru</t>
  </si>
  <si>
    <t>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</si>
  <si>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</si>
  <si>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</si>
  <si>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</si>
  <si>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</si>
  <si>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</si>
  <si>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</si>
  <si>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</si>
  <si>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</si>
  <si>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</si>
  <si>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</si>
  <si>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</si>
  <si>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</si>
  <si>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</si>
  <si>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</si>
  <si>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Форма 3.1</t>
  </si>
  <si>
    <t>№ п/п</t>
  </si>
  <si>
    <t>Наименование</t>
  </si>
  <si>
    <t>Ед. изм.</t>
  </si>
  <si>
    <t>Комментарии</t>
  </si>
  <si>
    <t>Предложение участника</t>
  </si>
  <si>
    <t>Электроэнергия</t>
  </si>
  <si>
    <t>L1</t>
  </si>
  <si>
    <t>Отпуск в сеть-энергия</t>
  </si>
  <si>
    <t>Поступление в сеть</t>
  </si>
  <si>
    <t>млн.кВтч</t>
  </si>
  <si>
    <t>L2</t>
  </si>
  <si>
    <t>Потери в электрической сети -энергия</t>
  </si>
  <si>
    <t>Потери в электрической сети, в т.ч. относимые на:</t>
  </si>
  <si>
    <t>L2.1</t>
  </si>
  <si>
    <t>собственное потребление</t>
  </si>
  <si>
    <t>2.1</t>
  </si>
  <si>
    <t>L2.2</t>
  </si>
  <si>
    <t>передачу сторонним потребителям (субабонентам)</t>
  </si>
  <si>
    <t>2.2</t>
  </si>
  <si>
    <t>L3</t>
  </si>
  <si>
    <t>Относительные потери-энергия</t>
  </si>
  <si>
    <t>Относительные потери</t>
  </si>
  <si>
    <t>%</t>
  </si>
  <si>
    <t>L4</t>
  </si>
  <si>
    <t>Полезный отпуск-энергия</t>
  </si>
  <si>
    <t>Отпуск из сети (полезный отпуск ), в т.ч. для</t>
  </si>
  <si>
    <t>L4.1</t>
  </si>
  <si>
    <t>собственного потребления</t>
  </si>
  <si>
    <t>4.1</t>
  </si>
  <si>
    <t>L4.2</t>
  </si>
  <si>
    <t>передачи сторонним потребителям (субабонентам)</t>
  </si>
  <si>
    <t>4.2</t>
  </si>
  <si>
    <t>Мощность</t>
  </si>
  <si>
    <t>L5</t>
  </si>
  <si>
    <t>5</t>
  </si>
  <si>
    <t>МВт</t>
  </si>
  <si>
    <t>L6</t>
  </si>
  <si>
    <t>6</t>
  </si>
  <si>
    <t>L6.1</t>
  </si>
  <si>
    <t>6.1</t>
  </si>
  <si>
    <t>L6.2</t>
  </si>
  <si>
    <t>6.2</t>
  </si>
  <si>
    <t>L7</t>
  </si>
  <si>
    <t>7</t>
  </si>
  <si>
    <t>L8</t>
  </si>
  <si>
    <t>8</t>
  </si>
  <si>
    <t>Отпуск из сети (полезный отпуск), в т.ч. для</t>
  </si>
  <si>
    <t>L8.1</t>
  </si>
  <si>
    <t>8.1</t>
  </si>
  <si>
    <t>L8.2</t>
  </si>
  <si>
    <t>8.2</t>
  </si>
  <si>
    <t>L9</t>
  </si>
  <si>
    <t>Заявленная мощность потребителей</t>
  </si>
  <si>
    <t>9</t>
  </si>
  <si>
    <t xml:space="preserve">Заявленная мощность </t>
  </si>
  <si>
    <t>L9.1</t>
  </si>
  <si>
    <t>9.1</t>
  </si>
  <si>
    <t>L9.2</t>
  </si>
  <si>
    <t>сторонних потребителей (субабонентов)</t>
  </si>
  <si>
    <t>9.2</t>
  </si>
  <si>
    <t>Предложение регулятора</t>
  </si>
  <si>
    <t>Руководитель органа исполнительной власти субъекта Российской Федерации в области государственного регулирования тарифов</t>
  </si>
  <si>
    <t>АО "Салехардэнерго" пос.Пельвож</t>
  </si>
  <si>
    <t>Показатель</t>
  </si>
  <si>
    <t>Всего</t>
  </si>
  <si>
    <t>О</t>
  </si>
  <si>
    <t>Добавить организацию</t>
  </si>
  <si>
    <t xml:space="preserve">И.о. руководителя организации </t>
  </si>
  <si>
    <t xml:space="preserve">                                                      Некрасов Е.Н.</t>
  </si>
  <si>
    <t xml:space="preserve"> Некрасов Е.Н.</t>
  </si>
  <si>
    <t xml:space="preserve">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</si>
</sst>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00"/>
  </numFmts>
  <fonts count="24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Arial Cyr"/>
      <charset val="204"/>
    </font>
    <font>
      <sz val="10"/>
      <name val="Wingdings 2"/>
      <family val="1"/>
      <charset val="2"/>
    </font>
    <font>
      <sz val="9"/>
      <color indexed="9"/>
      <name val="Arial Cyr"/>
      <charset val="204"/>
    </font>
    <font>
      <sz val="9"/>
      <color indexed="12"/>
      <name val="Tahoma"/>
      <family val="2"/>
      <charset val="204"/>
    </font>
    <font>
      <b/>
      <sz val="9"/>
      <color indexed="9"/>
      <name val="Tahoma"/>
      <family val="2"/>
      <charset val="204"/>
    </font>
    <font>
      <b/>
      <sz val="9"/>
      <color indexed="12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 Cyr"/>
    </font>
    <font>
      <sz val="9"/>
      <color indexed="23"/>
      <name val="Tahoma"/>
      <family val="2"/>
      <charset val="204"/>
    </font>
    <font>
      <sz val="9"/>
      <name val="Arial Cyr"/>
      <charset val="204"/>
    </font>
    <font>
      <b/>
      <u/>
      <sz val="11"/>
      <color indexed="12"/>
      <name val="Arial"/>
      <family val="2"/>
      <charset val="204"/>
    </font>
    <font>
      <sz val="11"/>
      <color indexed="22"/>
      <name val="Wingdings 2"/>
      <family val="1"/>
      <charset val="2"/>
    </font>
    <font>
      <b/>
      <u/>
      <sz val="9"/>
      <color indexed="1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fgColor indexed="22"/>
      </patternFill>
    </fill>
  </fills>
  <borders count="2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22"/>
      </top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 style="thin">
        <color theme="1" tint="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ck">
        <color indexed="22"/>
      </bottom>
      <diagonal/>
    </border>
    <border>
      <left/>
      <right style="thin">
        <color indexed="22"/>
      </right>
      <top style="thin">
        <color indexed="22"/>
      </top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ck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ck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ck">
        <color indexed="22"/>
      </bottom>
      <diagonal/>
    </border>
    <border>
      <left style="thin">
        <color indexed="22"/>
      </left>
      <right/>
      <top style="thick">
        <color indexed="22"/>
      </top>
      <bottom style="thin">
        <color indexed="22"/>
      </bottom>
      <diagonal/>
    </border>
    <border>
      <left/>
      <right/>
      <top style="thick">
        <color indexed="22"/>
      </top>
      <bottom style="thin">
        <color indexed="22"/>
      </bottom>
      <diagonal/>
    </border>
    <border>
      <left/>
      <right style="thin">
        <color indexed="22"/>
      </right>
      <top style="thick">
        <color indexed="22"/>
      </top>
      <bottom style="thin">
        <color indexed="22"/>
      </bottom>
      <diagonal/>
    </border>
  </borders>
  <cellStyleXfs count="8">
    <xf numFmtId="0" fontId="0" fillId="0" borderId="0"/>
    <xf numFmtId="0" fontId="1" fillId="0" borderId="0">
      <alignment horizontal="left" vertical="center"/>
    </xf>
    <xf numFmtId="0" fontId="5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" fillId="2" borderId="0" xfId="1" applyFill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1" fillId="2" borderId="1" xfId="1" applyFill="1" applyBorder="1" applyAlignment="1">
      <alignment horizontal="right" vertical="center" wrapText="1" indent="1"/>
    </xf>
    <xf numFmtId="0" fontId="8" fillId="2" borderId="1" xfId="1" applyFont="1" applyFill="1" applyBorder="1" applyAlignment="1">
      <alignment horizontal="center" vertical="center" wrapText="1"/>
    </xf>
    <xf numFmtId="0" fontId="1" fillId="2" borderId="0" xfId="1" applyFill="1" applyAlignment="1">
      <alignment horizontal="right" vertical="center" wrapText="1" indent="1"/>
    </xf>
    <xf numFmtId="0" fontId="1" fillId="3" borderId="2" xfId="1" applyFill="1" applyBorder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" fillId="2" borderId="0" xfId="1" applyFill="1" applyAlignment="1">
      <alignment horizontal="center" vertical="center" wrapText="1"/>
    </xf>
    <xf numFmtId="0" fontId="0" fillId="2" borderId="0" xfId="1" applyFont="1" applyFill="1" applyAlignment="1">
      <alignment horizontal="right" vertical="center" wrapText="1" indent="1"/>
    </xf>
    <xf numFmtId="49" fontId="1" fillId="3" borderId="2" xfId="1" applyNumberForma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0" fillId="4" borderId="2" xfId="3" applyFont="1" applyFill="1" applyBorder="1" applyAlignment="1">
      <alignment horizontal="center" vertical="center" wrapText="1"/>
    </xf>
    <xf numFmtId="14" fontId="1" fillId="2" borderId="0" xfId="1" applyNumberFormat="1" applyFill="1" applyAlignment="1">
      <alignment horizontal="center" vertical="center" wrapText="1"/>
    </xf>
    <xf numFmtId="0" fontId="1" fillId="0" borderId="0" xfId="1" applyAlignment="1">
      <alignment vertical="center"/>
    </xf>
    <xf numFmtId="0" fontId="11" fillId="0" borderId="0" xfId="1" applyFont="1" applyAlignment="1">
      <alignment vertical="center" wrapText="1"/>
    </xf>
    <xf numFmtId="0" fontId="1" fillId="2" borderId="0" xfId="1" applyFill="1" applyAlignment="1">
      <alignment horizontal="center" wrapText="1"/>
    </xf>
    <xf numFmtId="49" fontId="2" fillId="0" borderId="0" xfId="1" applyNumberFormat="1" applyFont="1" applyAlignment="1">
      <alignment horizontal="left" vertical="center" wrapText="1"/>
    </xf>
    <xf numFmtId="49" fontId="4" fillId="2" borderId="0" xfId="1" applyNumberFormat="1" applyFont="1" applyFill="1" applyAlignment="1">
      <alignment horizontal="center" vertical="center" wrapText="1"/>
    </xf>
    <xf numFmtId="49" fontId="1" fillId="2" borderId="0" xfId="1" applyNumberFormat="1" applyFill="1" applyAlignment="1">
      <alignment horizontal="right" vertical="center" wrapText="1" indent="1"/>
    </xf>
    <xf numFmtId="49" fontId="0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0" fillId="6" borderId="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4" applyNumberFormat="1" applyFont="1" applyAlignment="1">
      <alignment horizontal="left"/>
    </xf>
    <xf numFmtId="49" fontId="12" fillId="0" borderId="0" xfId="4" applyNumberFormat="1" applyFont="1"/>
    <xf numFmtId="49" fontId="2" fillId="0" borderId="0" xfId="4" applyNumberFormat="1" applyFont="1"/>
    <xf numFmtId="2" fontId="2" fillId="0" borderId="0" xfId="4" applyNumberFormat="1" applyFont="1"/>
    <xf numFmtId="0" fontId="2" fillId="0" borderId="0" xfId="4" applyFont="1"/>
    <xf numFmtId="0" fontId="12" fillId="0" borderId="0" xfId="4" applyFont="1" applyAlignment="1">
      <alignment horizontal="right"/>
    </xf>
    <xf numFmtId="0" fontId="2" fillId="0" borderId="0" xfId="4" applyFont="1" applyAlignment="1">
      <alignment horizontal="right"/>
    </xf>
    <xf numFmtId="0" fontId="12" fillId="0" borderId="0" xfId="4" applyFont="1"/>
    <xf numFmtId="1" fontId="2" fillId="0" borderId="0" xfId="4" applyNumberFormat="1" applyFont="1" applyAlignment="1">
      <alignment horizontal="left"/>
    </xf>
    <xf numFmtId="1" fontId="2" fillId="0" borderId="0" xfId="4" applyNumberFormat="1" applyFont="1"/>
    <xf numFmtId="1" fontId="2" fillId="0" borderId="0" xfId="4" applyNumberFormat="1" applyFont="1" applyAlignment="1">
      <alignment horizontal="center" vertical="center" wrapText="1"/>
    </xf>
    <xf numFmtId="1" fontId="2" fillId="0" borderId="0" xfId="4" applyNumberFormat="1" applyFont="1" applyAlignment="1">
      <alignment horizontal="right"/>
    </xf>
    <xf numFmtId="0" fontId="2" fillId="0" borderId="0" xfId="4" applyFont="1" applyAlignment="1">
      <alignment horizontal="right" vertical="center" wrapText="1"/>
    </xf>
    <xf numFmtId="0" fontId="2" fillId="0" borderId="0" xfId="4" applyFont="1" applyAlignment="1">
      <alignment horizontal="left"/>
    </xf>
    <xf numFmtId="0" fontId="13" fillId="0" borderId="0" xfId="4" applyFont="1"/>
    <xf numFmtId="0" fontId="1" fillId="0" borderId="0" xfId="4" applyFont="1" applyAlignment="1">
      <alignment horizontal="center" vertical="center" wrapText="1"/>
    </xf>
    <xf numFmtId="0" fontId="1" fillId="0" borderId="0" xfId="4" applyFont="1"/>
    <xf numFmtId="0" fontId="14" fillId="0" borderId="0" xfId="4" applyFont="1" applyAlignment="1">
      <alignment horizontal="left"/>
    </xf>
    <xf numFmtId="0" fontId="14" fillId="0" borderId="0" xfId="4" applyFont="1"/>
    <xf numFmtId="0" fontId="15" fillId="0" borderId="0" xfId="4" applyFont="1"/>
    <xf numFmtId="0" fontId="7" fillId="0" borderId="0" xfId="4" applyFont="1" applyAlignment="1">
      <alignment horizontal="center" vertical="center" wrapText="1"/>
    </xf>
    <xf numFmtId="0" fontId="7" fillId="0" borderId="0" xfId="4" applyFont="1"/>
    <xf numFmtId="0" fontId="1" fillId="0" borderId="0" xfId="4" applyFont="1" applyAlignment="1">
      <alignment horizontal="right"/>
    </xf>
    <xf numFmtId="0" fontId="13" fillId="0" borderId="0" xfId="4" applyFont="1" applyAlignment="1">
      <alignment horizontal="centerContinuous" wrapText="1"/>
    </xf>
    <xf numFmtId="0" fontId="16" fillId="0" borderId="0" xfId="4" applyFont="1" applyAlignment="1">
      <alignment horizontal="center" vertical="center" wrapText="1"/>
    </xf>
    <xf numFmtId="0" fontId="1" fillId="0" borderId="0" xfId="4" applyFont="1" applyAlignment="1">
      <alignment horizontal="centerContinuous" wrapText="1"/>
    </xf>
    <xf numFmtId="0" fontId="7" fillId="0" borderId="0" xfId="4" applyFont="1" applyAlignment="1">
      <alignment horizontal="center"/>
    </xf>
    <xf numFmtId="0" fontId="1" fillId="0" borderId="2" xfId="4" applyFont="1" applyBorder="1" applyAlignment="1">
      <alignment horizontal="center" vertical="center" wrapText="1"/>
    </xf>
    <xf numFmtId="0" fontId="1" fillId="0" borderId="2" xfId="4" applyFont="1" applyBorder="1" applyAlignment="1">
      <alignment horizontal="center" vertical="center"/>
    </xf>
    <xf numFmtId="0" fontId="1" fillId="0" borderId="2" xfId="5" applyFont="1" applyBorder="1" applyAlignment="1">
      <alignment horizontal="center" vertical="center" wrapText="1"/>
    </xf>
    <xf numFmtId="0" fontId="18" fillId="2" borderId="0" xfId="4" applyFont="1" applyFill="1" applyAlignment="1">
      <alignment horizontal="center" vertical="center" wrapText="1"/>
    </xf>
    <xf numFmtId="0" fontId="1" fillId="7" borderId="4" xfId="4" applyFont="1" applyFill="1" applyBorder="1" applyAlignment="1">
      <alignment horizontal="left" vertical="center"/>
    </xf>
    <xf numFmtId="0" fontId="1" fillId="7" borderId="5" xfId="4" applyFont="1" applyFill="1" applyBorder="1"/>
    <xf numFmtId="0" fontId="1" fillId="7" borderId="6" xfId="4" applyFont="1" applyFill="1" applyBorder="1" applyAlignment="1">
      <alignment horizontal="center" vertical="center" wrapText="1"/>
    </xf>
    <xf numFmtId="164" fontId="1" fillId="7" borderId="6" xfId="4" applyNumberFormat="1" applyFont="1" applyFill="1" applyBorder="1" applyAlignment="1">
      <alignment horizontal="right" vertical="center" wrapText="1"/>
    </xf>
    <xf numFmtId="164" fontId="1" fillId="7" borderId="7" xfId="4" applyNumberFormat="1" applyFont="1" applyFill="1" applyBorder="1" applyAlignment="1">
      <alignment horizontal="right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1" fillId="8" borderId="8" xfId="4" applyFont="1" applyFill="1" applyBorder="1" applyAlignment="1">
      <alignment horizontal="left" vertical="center" wrapText="1"/>
    </xf>
    <xf numFmtId="0" fontId="7" fillId="8" borderId="8" xfId="4" applyFont="1" applyFill="1" applyBorder="1" applyAlignment="1">
      <alignment horizontal="center"/>
    </xf>
    <xf numFmtId="0" fontId="7" fillId="8" borderId="8" xfId="5" applyFont="1" applyFill="1" applyBorder="1" applyAlignment="1">
      <alignment horizontal="center" vertical="center" wrapText="1"/>
    </xf>
    <xf numFmtId="0" fontId="1" fillId="0" borderId="2" xfId="4" applyFont="1" applyBorder="1" applyAlignment="1">
      <alignment vertical="center" wrapText="1"/>
    </xf>
    <xf numFmtId="164" fontId="1" fillId="5" borderId="2" xfId="4" applyNumberFormat="1" applyFont="1" applyFill="1" applyBorder="1" applyAlignment="1" applyProtection="1">
      <alignment horizontal="right" vertical="center" wrapText="1"/>
      <protection locked="0"/>
    </xf>
    <xf numFmtId="164" fontId="1" fillId="3" borderId="2" xfId="4" applyNumberFormat="1" applyFont="1" applyFill="1" applyBorder="1" applyAlignment="1">
      <alignment horizontal="right" vertical="center" wrapText="1"/>
    </xf>
    <xf numFmtId="164" fontId="1" fillId="0" borderId="2" xfId="4" applyNumberFormat="1" applyFont="1" applyBorder="1" applyAlignment="1">
      <alignment horizontal="right" vertical="center" wrapText="1"/>
    </xf>
    <xf numFmtId="164" fontId="1" fillId="3" borderId="2" xfId="4" applyNumberFormat="1" applyFont="1" applyFill="1" applyBorder="1" applyAlignment="1">
      <alignment horizontal="right" vertical="center"/>
    </xf>
    <xf numFmtId="0" fontId="1" fillId="0" borderId="2" xfId="4" applyFont="1" applyBorder="1" applyAlignment="1">
      <alignment horizontal="left" vertical="center" wrapText="1" indent="1"/>
    </xf>
    <xf numFmtId="164" fontId="1" fillId="5" borderId="2" xfId="4" applyNumberFormat="1" applyFont="1" applyFill="1" applyBorder="1" applyAlignment="1" applyProtection="1">
      <alignment horizontal="right" vertical="center"/>
      <protection locked="0"/>
    </xf>
    <xf numFmtId="0" fontId="19" fillId="0" borderId="0" xfId="4" applyFont="1"/>
    <xf numFmtId="164" fontId="1" fillId="0" borderId="2" xfId="4" applyNumberFormat="1" applyFont="1" applyBorder="1" applyAlignment="1">
      <alignment horizontal="right" vertical="center"/>
    </xf>
    <xf numFmtId="0" fontId="7" fillId="8" borderId="2" xfId="4" applyFont="1" applyFill="1" applyBorder="1" applyAlignment="1">
      <alignment horizontal="center" vertical="center" wrapText="1"/>
    </xf>
    <xf numFmtId="0" fontId="1" fillId="8" borderId="2" xfId="4" applyFont="1" applyFill="1" applyBorder="1" applyAlignment="1">
      <alignment horizontal="left" vertical="center" wrapText="1"/>
    </xf>
    <xf numFmtId="0" fontId="7" fillId="8" borderId="2" xfId="4" applyFont="1" applyFill="1" applyBorder="1" applyAlignment="1">
      <alignment horizontal="center" vertical="center"/>
    </xf>
    <xf numFmtId="164" fontId="7" fillId="8" borderId="2" xfId="5" applyNumberFormat="1" applyFont="1" applyFill="1" applyBorder="1" applyAlignment="1">
      <alignment horizontal="center" vertical="center" wrapText="1"/>
    </xf>
    <xf numFmtId="0" fontId="0" fillId="0" borderId="2" xfId="4" applyFont="1" applyBorder="1" applyAlignment="1">
      <alignment horizontal="left" vertical="center" wrapText="1" indent="1"/>
    </xf>
    <xf numFmtId="49" fontId="0" fillId="0" borderId="2" xfId="4" applyNumberFormat="1" applyFont="1" applyBorder="1" applyAlignment="1">
      <alignment horizontal="center" vertical="center" wrapText="1"/>
    </xf>
    <xf numFmtId="0" fontId="0" fillId="0" borderId="2" xfId="4" applyFont="1" applyBorder="1" applyAlignment="1">
      <alignment horizontal="left" vertical="center" wrapText="1" indent="2"/>
    </xf>
    <xf numFmtId="0" fontId="0" fillId="7" borderId="4" xfId="4" applyFont="1" applyFill="1" applyBorder="1" applyAlignment="1">
      <alignment horizontal="left" vertical="center"/>
    </xf>
    <xf numFmtId="0" fontId="0" fillId="0" borderId="0" xfId="4" applyFont="1" applyAlignment="1">
      <alignment horizontal="left" vertical="center"/>
    </xf>
    <xf numFmtId="164" fontId="1" fillId="0" borderId="0" xfId="4" applyNumberFormat="1" applyFont="1" applyAlignment="1">
      <alignment horizontal="right" vertical="center" wrapText="1"/>
    </xf>
    <xf numFmtId="0" fontId="1" fillId="0" borderId="0" xfId="4" applyFont="1" applyAlignment="1">
      <alignment vertical="center" wrapText="1"/>
    </xf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top" wrapText="1"/>
    </xf>
    <xf numFmtId="0" fontId="1" fillId="0" borderId="0" xfId="4" applyFont="1" applyAlignment="1">
      <alignment horizontal="center" vertical="top" wrapText="1"/>
    </xf>
    <xf numFmtId="0" fontId="12" fillId="0" borderId="0" xfId="4" applyFont="1" applyAlignment="1">
      <alignment horizontal="left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center" vertical="top" wrapText="1"/>
    </xf>
    <xf numFmtId="0" fontId="1" fillId="0" borderId="0" xfId="6" applyFont="1"/>
    <xf numFmtId="0" fontId="1" fillId="0" borderId="2" xfId="6" applyFont="1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/>
    </xf>
    <xf numFmtId="0" fontId="18" fillId="0" borderId="0" xfId="5" applyFont="1" applyAlignment="1">
      <alignment horizontal="center" vertical="center" wrapText="1"/>
    </xf>
    <xf numFmtId="0" fontId="7" fillId="0" borderId="2" xfId="4" applyFont="1" applyBorder="1" applyAlignment="1">
      <alignment horizontal="left" vertical="center" wrapText="1"/>
    </xf>
    <xf numFmtId="0" fontId="7" fillId="0" borderId="2" xfId="4" applyFont="1" applyBorder="1" applyAlignment="1">
      <alignment horizontal="center" vertical="center"/>
    </xf>
    <xf numFmtId="164" fontId="7" fillId="3" borderId="2" xfId="4" applyNumberFormat="1" applyFont="1" applyFill="1" applyBorder="1" applyAlignment="1">
      <alignment horizontal="right" vertical="center"/>
    </xf>
    <xf numFmtId="2" fontId="1" fillId="0" borderId="0" xfId="4" applyNumberFormat="1" applyFont="1" applyAlignment="1">
      <alignment horizontal="center"/>
    </xf>
    <xf numFmtId="0" fontId="7" fillId="0" borderId="14" xfId="4" applyFont="1" applyBorder="1" applyAlignment="1">
      <alignment horizontal="left" vertical="center" wrapText="1" indent="1"/>
    </xf>
    <xf numFmtId="0" fontId="7" fillId="0" borderId="14" xfId="4" applyFont="1" applyBorder="1" applyAlignment="1">
      <alignment horizontal="center" vertical="center"/>
    </xf>
    <xf numFmtId="164" fontId="7" fillId="0" borderId="14" xfId="4" applyNumberFormat="1" applyFont="1" applyBorder="1" applyAlignment="1">
      <alignment horizontal="right" vertical="center"/>
    </xf>
    <xf numFmtId="0" fontId="1" fillId="0" borderId="15" xfId="6" applyFont="1" applyBorder="1"/>
    <xf numFmtId="0" fontId="1" fillId="0" borderId="15" xfId="4" applyFont="1" applyBorder="1" applyAlignment="1">
      <alignment horizontal="center" vertical="center" wrapText="1"/>
    </xf>
    <xf numFmtId="0" fontId="1" fillId="0" borderId="15" xfId="4" applyFont="1" applyBorder="1" applyAlignment="1">
      <alignment horizontal="center" vertical="center"/>
    </xf>
    <xf numFmtId="4" fontId="1" fillId="0" borderId="15" xfId="4" applyNumberFormat="1" applyFont="1" applyBorder="1" applyAlignment="1">
      <alignment horizontal="right"/>
    </xf>
    <xf numFmtId="0" fontId="1" fillId="0" borderId="17" xfId="4" applyFont="1" applyBorder="1" applyAlignment="1">
      <alignment horizontal="left" vertical="center" wrapText="1"/>
    </xf>
    <xf numFmtId="0" fontId="0" fillId="0" borderId="17" xfId="4" applyFont="1" applyBorder="1" applyAlignment="1">
      <alignment horizontal="center" vertical="center"/>
    </xf>
    <xf numFmtId="164" fontId="1" fillId="5" borderId="17" xfId="4" applyNumberFormat="1" applyFont="1" applyFill="1" applyBorder="1" applyAlignment="1" applyProtection="1">
      <alignment horizontal="right" vertical="center"/>
      <protection locked="0"/>
    </xf>
    <xf numFmtId="164" fontId="1" fillId="3" borderId="17" xfId="4" applyNumberFormat="1" applyFont="1" applyFill="1" applyBorder="1" applyAlignment="1">
      <alignment horizontal="right" vertical="center"/>
    </xf>
    <xf numFmtId="0" fontId="1" fillId="0" borderId="14" xfId="4" applyFont="1" applyBorder="1" applyAlignment="1">
      <alignment horizontal="left" vertical="center" wrapText="1" indent="1"/>
    </xf>
    <xf numFmtId="0" fontId="0" fillId="0" borderId="14" xfId="4" applyFont="1" applyBorder="1" applyAlignment="1">
      <alignment horizontal="center" vertical="center"/>
    </xf>
    <xf numFmtId="164" fontId="1" fillId="0" borderId="14" xfId="4" applyNumberFormat="1" applyFont="1" applyBorder="1" applyAlignment="1">
      <alignment horizontal="right" vertical="center"/>
    </xf>
    <xf numFmtId="0" fontId="1" fillId="9" borderId="20" xfId="6" applyFont="1" applyFill="1" applyBorder="1"/>
    <xf numFmtId="0" fontId="23" fillId="9" borderId="21" xfId="7" applyNumberFormat="1" applyFont="1" applyFill="1" applyBorder="1" applyAlignment="1" applyProtection="1">
      <alignment horizontal="center" vertical="top"/>
    </xf>
    <xf numFmtId="0" fontId="22" fillId="9" borderId="21" xfId="7" applyNumberFormat="1" applyFont="1" applyFill="1" applyBorder="1" applyAlignment="1" applyProtection="1">
      <alignment horizontal="center" vertical="top"/>
    </xf>
    <xf numFmtId="0" fontId="22" fillId="9" borderId="22" xfId="7" applyNumberFormat="1" applyFont="1" applyFill="1" applyBorder="1" applyAlignment="1" applyProtection="1">
      <alignment horizontal="center" vertical="top"/>
    </xf>
    <xf numFmtId="165" fontId="1" fillId="3" borderId="2" xfId="4" applyNumberFormat="1" applyFont="1" applyFill="1" applyBorder="1" applyAlignment="1">
      <alignment horizontal="right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0" xfId="4" applyFont="1" applyAlignment="1">
      <alignment horizontal="left" vertical="center" wrapText="1"/>
    </xf>
    <xf numFmtId="0" fontId="16" fillId="0" borderId="3" xfId="4" applyFont="1" applyBorder="1" applyAlignment="1">
      <alignment horizontal="left" vertical="center" wrapText="1" indent="1"/>
    </xf>
    <xf numFmtId="0" fontId="1" fillId="0" borderId="0" xfId="4" applyFont="1" applyAlignment="1">
      <alignment horizontal="left" vertical="center" wrapText="1"/>
    </xf>
    <xf numFmtId="0" fontId="1" fillId="0" borderId="9" xfId="4" applyFont="1" applyBorder="1" applyAlignment="1">
      <alignment horizontal="center" wrapText="1"/>
    </xf>
    <xf numFmtId="0" fontId="22" fillId="0" borderId="0" xfId="7" applyNumberFormat="1" applyFont="1" applyFill="1" applyBorder="1" applyAlignment="1" applyProtection="1">
      <alignment horizontal="center" vertical="center"/>
    </xf>
    <xf numFmtId="0" fontId="7" fillId="7" borderId="10" xfId="6" applyFont="1" applyFill="1" applyBorder="1" applyAlignment="1">
      <alignment horizontal="center" vertical="center"/>
    </xf>
    <xf numFmtId="0" fontId="7" fillId="7" borderId="11" xfId="6" applyFont="1" applyFill="1" applyBorder="1" applyAlignment="1">
      <alignment horizontal="center" vertical="center"/>
    </xf>
    <xf numFmtId="0" fontId="7" fillId="7" borderId="12" xfId="6" applyFont="1" applyFill="1" applyBorder="1" applyAlignment="1">
      <alignment horizontal="center" vertical="center"/>
    </xf>
    <xf numFmtId="0" fontId="7" fillId="7" borderId="13" xfId="6" applyFont="1" applyFill="1" applyBorder="1" applyAlignment="1">
      <alignment horizontal="center" vertical="center"/>
    </xf>
    <xf numFmtId="49" fontId="21" fillId="0" borderId="16" xfId="7" applyNumberFormat="1" applyFont="1" applyBorder="1" applyAlignment="1" applyProtection="1">
      <alignment horizontal="center" vertical="center" wrapText="1"/>
    </xf>
    <xf numFmtId="49" fontId="22" fillId="0" borderId="16" xfId="7" applyNumberFormat="1" applyFont="1" applyBorder="1" applyAlignment="1" applyProtection="1">
      <alignment horizontal="center" vertical="center" wrapText="1"/>
    </xf>
    <xf numFmtId="1" fontId="1" fillId="0" borderId="17" xfId="7" applyNumberFormat="1" applyFont="1" applyBorder="1" applyAlignment="1" applyProtection="1">
      <alignment horizontal="center" vertical="center"/>
    </xf>
    <xf numFmtId="1" fontId="1" fillId="0" borderId="14" xfId="7" applyNumberFormat="1" applyFont="1" applyBorder="1" applyAlignment="1" applyProtection="1">
      <alignment horizontal="center" vertical="center"/>
    </xf>
    <xf numFmtId="49" fontId="0" fillId="6" borderId="18" xfId="6" applyNumberFormat="1" applyFont="1" applyFill="1" applyBorder="1" applyAlignment="1" applyProtection="1">
      <alignment horizontal="left" vertical="center" wrapText="1"/>
      <protection locked="0"/>
    </xf>
    <xf numFmtId="49" fontId="1" fillId="6" borderId="19" xfId="6" applyNumberFormat="1" applyFont="1" applyFill="1" applyBorder="1" applyAlignment="1" applyProtection="1">
      <alignment horizontal="left" vertical="center" wrapText="1"/>
      <protection locked="0"/>
    </xf>
  </cellXfs>
  <cellStyles count="8">
    <cellStyle name="Гиперссылка_FORM3.1.2013(v2.0)" xfId="7" xr:uid="{CAB9A061-2002-4005-8859-F30A84C8F7CB}"/>
    <cellStyle name="Обычный" xfId="0" builtinId="0"/>
    <cellStyle name="Обычный_FORM3.1" xfId="4" xr:uid="{C9AAF8B1-12EA-4E84-B86E-A6A0C3EB0301}"/>
    <cellStyle name="Обычный_SIMPLE_1_massive2" xfId="1" xr:uid="{E5412A90-1EA1-4F10-A5C9-2ED3A386D20E}"/>
    <cellStyle name="Обычный_ЖКУ_проект3" xfId="3" xr:uid="{4D39B044-99AB-4DBB-BB06-7557754D30E3}"/>
    <cellStyle name="Обычный_Форма 4 Станция" xfId="5" xr:uid="{B470DAC0-ECBB-4F02-82C2-D7BC6D314C98}"/>
    <cellStyle name="Обычный_Форма3" xfId="6" xr:uid="{CEAFAAC6-9D58-4F70-B69E-68D029F57B22}"/>
    <cellStyle name="Обычный_Шаблон по источникам для Модуля Реестр (2)" xfId="2" xr:uid="{EE128AAD-D298-41C2-B6E6-8852E96CDF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6</xdr:row>
      <xdr:rowOff>28575</xdr:rowOff>
    </xdr:from>
    <xdr:to>
      <xdr:col>3</xdr:col>
      <xdr:colOff>238125</xdr:colOff>
      <xdr:row>7</xdr:row>
      <xdr:rowOff>28575</xdr:rowOff>
    </xdr:to>
    <xdr:pic macro="[1]!modList00.FREEZE_PANES">
      <xdr:nvPicPr>
        <xdr:cNvPr id="2" name="FREEZE_PANES_G12" descr="Без имени-1">
          <a:extLst>
            <a:ext uri="{FF2B5EF4-FFF2-40B4-BE49-F238E27FC236}">
              <a16:creationId xmlns:a16="http://schemas.microsoft.com/office/drawing/2014/main" id="{DAD074F8-05FC-4FEA-ABE2-5081D710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6</xdr:row>
      <xdr:rowOff>28575</xdr:rowOff>
    </xdr:from>
    <xdr:to>
      <xdr:col>3</xdr:col>
      <xdr:colOff>66675</xdr:colOff>
      <xdr:row>7</xdr:row>
      <xdr:rowOff>285750</xdr:rowOff>
    </xdr:to>
    <xdr:pic macro="[1]!modList00.FREEZE_PANES">
      <xdr:nvPicPr>
        <xdr:cNvPr id="3" name="FREEZE_PANES_G12" descr="Без имени-1">
          <a:extLst>
            <a:ext uri="{FF2B5EF4-FFF2-40B4-BE49-F238E27FC236}">
              <a16:creationId xmlns:a16="http://schemas.microsoft.com/office/drawing/2014/main" id="{E7C4119C-47E8-4C3A-86A2-360901CF3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7</xdr:row>
      <xdr:rowOff>28575</xdr:rowOff>
    </xdr:from>
    <xdr:to>
      <xdr:col>3</xdr:col>
      <xdr:colOff>66675</xdr:colOff>
      <xdr:row>8</xdr:row>
      <xdr:rowOff>57150</xdr:rowOff>
    </xdr:to>
    <xdr:pic macro="[1]!modList00.FREEZE_PANES">
      <xdr:nvPicPr>
        <xdr:cNvPr id="3" name="FREEZE_PANES_H15" descr="Без имени-1">
          <a:extLst>
            <a:ext uri="{FF2B5EF4-FFF2-40B4-BE49-F238E27FC236}">
              <a16:creationId xmlns:a16="http://schemas.microsoft.com/office/drawing/2014/main" id="{4701B0A3-BE73-4430-8257-CA139765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3;&#1077;&#1088;&#1085;&#1086;&#1074;&#1080;&#1082;%20FORM3.1.2024.ORG(v1.0)%201%20&#1044;&#1069;&#1057;%20&#1087;.&#1055;&#1077;&#1083;&#1100;&#1074;&#1086;&#1078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Сравнение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List07"/>
      <sheetName val="modInstruction"/>
      <sheetName val="modUpdTemplMain"/>
      <sheetName val="modfrmCheckUpdates"/>
      <sheetName val="Черновик FORM3.1.2024.ORG(v1"/>
    </sheetNames>
    <definedNames>
      <definedName name="modList00.FREEZE_PANES"/>
    </definedNames>
    <sheetDataSet>
      <sheetData sheetId="0">
        <row r="3">
          <cell r="B3" t="str">
            <v>Версия 1.0</v>
          </cell>
        </row>
      </sheetData>
      <sheetData sheetId="1"/>
      <sheetData sheetId="2">
        <row r="7">
          <cell r="F7" t="str">
            <v>Ямало-Ненецкий автономный округ</v>
          </cell>
        </row>
        <row r="9">
          <cell r="F9">
            <v>2024</v>
          </cell>
        </row>
        <row r="13">
          <cell r="F13" t="str">
            <v>АО "Салехардэнерго"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>
            <v>2011</v>
          </cell>
          <cell r="E2">
            <v>0</v>
          </cell>
        </row>
        <row r="3">
          <cell r="B3">
            <v>2012</v>
          </cell>
        </row>
        <row r="4">
          <cell r="B4">
            <v>2013</v>
          </cell>
        </row>
        <row r="5">
          <cell r="B5">
            <v>2014</v>
          </cell>
        </row>
        <row r="6">
          <cell r="B6">
            <v>2015</v>
          </cell>
        </row>
        <row r="7">
          <cell r="B7">
            <v>2016</v>
          </cell>
        </row>
        <row r="8">
          <cell r="B8">
            <v>2017</v>
          </cell>
        </row>
        <row r="9">
          <cell r="B9">
            <v>2018</v>
          </cell>
        </row>
        <row r="10">
          <cell r="B10">
            <v>2019</v>
          </cell>
        </row>
        <row r="11">
          <cell r="B11">
            <v>2020</v>
          </cell>
        </row>
        <row r="12">
          <cell r="B12">
            <v>2021</v>
          </cell>
        </row>
        <row r="13">
          <cell r="B13">
            <v>2022</v>
          </cell>
        </row>
        <row r="14">
          <cell r="B14">
            <v>2023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CE93-39F2-4169-9405-875C29D2A1AB}">
  <sheetPr codeName="Лист1"/>
  <dimension ref="A1:J32"/>
  <sheetViews>
    <sheetView tabSelected="1" topLeftCell="D5" workbookViewId="0">
      <selection activeCell="D5" sqref="A5:XFD5"/>
    </sheetView>
  </sheetViews>
  <sheetFormatPr defaultColWidth="9.140625" defaultRowHeight="11.25" x14ac:dyDescent="0.25"/>
  <cols>
    <col min="1" max="1" width="10.7109375" style="1" hidden="1" customWidth="1"/>
    <col min="2" max="2" width="10.7109375" style="2" hidden="1" customWidth="1"/>
    <col min="3" max="3" width="3.7109375" style="4" hidden="1" customWidth="1"/>
    <col min="4" max="4" width="3.7109375" style="6" customWidth="1"/>
    <col min="5" max="5" width="30.140625" style="6" customWidth="1"/>
    <col min="6" max="6" width="50.7109375" style="6" customWidth="1"/>
    <col min="7" max="7" width="8.28515625" style="8" customWidth="1"/>
    <col min="8" max="16384" width="9.140625" style="6"/>
  </cols>
  <sheetData>
    <row r="1" spans="1:10" s="1" customFormat="1" ht="14.25" hidden="1" customHeight="1" x14ac:dyDescent="0.25">
      <c r="B1" s="2"/>
      <c r="G1" s="3"/>
    </row>
    <row r="2" spans="1:10" s="1" customFormat="1" ht="14.25" hidden="1" customHeight="1" x14ac:dyDescent="0.25">
      <c r="B2" s="2"/>
      <c r="G2" s="3"/>
    </row>
    <row r="3" spans="1:10" ht="14.25" hidden="1" customHeight="1" x14ac:dyDescent="0.25"/>
    <row r="4" spans="1:10" hidden="1" x14ac:dyDescent="0.25">
      <c r="D4" s="5"/>
      <c r="F4" s="7" t="str">
        <f>version</f>
        <v>Версия 1.0</v>
      </c>
    </row>
    <row r="5" spans="1:10" ht="44.25" customHeight="1" x14ac:dyDescent="0.25">
      <c r="D5" s="5"/>
      <c r="F5" s="7"/>
    </row>
    <row r="6" spans="1:10" ht="44.25" customHeight="1" x14ac:dyDescent="0.25">
      <c r="D6" s="9"/>
      <c r="E6" s="125" t="s">
        <v>0</v>
      </c>
      <c r="F6" s="125"/>
      <c r="G6" s="10"/>
    </row>
    <row r="7" spans="1:10" ht="27.75" customHeight="1" x14ac:dyDescent="0.25">
      <c r="D7" s="5"/>
      <c r="E7" s="11"/>
      <c r="F7" s="12"/>
      <c r="G7" s="10"/>
    </row>
    <row r="8" spans="1:10" ht="19.5" x14ac:dyDescent="0.25">
      <c r="D8" s="9"/>
      <c r="E8" s="13" t="s">
        <v>1</v>
      </c>
      <c r="F8" s="14" t="s">
        <v>2</v>
      </c>
      <c r="G8" s="10"/>
    </row>
    <row r="9" spans="1:10" x14ac:dyDescent="0.25">
      <c r="A9" s="15"/>
      <c r="D9" s="16"/>
      <c r="E9" s="13"/>
      <c r="F9" s="17"/>
      <c r="G9" s="17"/>
    </row>
    <row r="10" spans="1:10" ht="19.5" x14ac:dyDescent="0.25">
      <c r="D10" s="9"/>
      <c r="E10" s="13" t="s">
        <v>3</v>
      </c>
      <c r="F10" s="14">
        <v>2025</v>
      </c>
      <c r="G10" s="5"/>
    </row>
    <row r="11" spans="1:10" x14ac:dyDescent="0.25">
      <c r="A11" s="15"/>
      <c r="D11" s="16"/>
      <c r="E11" s="13"/>
      <c r="F11" s="17"/>
      <c r="G11" s="17"/>
    </row>
    <row r="12" spans="1:10" ht="19.5" x14ac:dyDescent="0.25">
      <c r="D12" s="9"/>
      <c r="E12" s="18" t="s">
        <v>4</v>
      </c>
      <c r="F12" s="19" t="s">
        <v>5</v>
      </c>
      <c r="G12" s="5"/>
    </row>
    <row r="13" spans="1:10" x14ac:dyDescent="0.25">
      <c r="A13" s="15"/>
      <c r="D13" s="16"/>
      <c r="E13" s="13"/>
      <c r="F13" s="17"/>
      <c r="G13" s="17"/>
    </row>
    <row r="14" spans="1:10" ht="19.5" x14ac:dyDescent="0.25">
      <c r="C14" s="20"/>
      <c r="D14" s="21"/>
      <c r="E14" s="13" t="s">
        <v>6</v>
      </c>
      <c r="F14" s="22" t="s">
        <v>113</v>
      </c>
      <c r="G14" s="23"/>
      <c r="H14" s="24"/>
      <c r="J14" s="25"/>
    </row>
    <row r="15" spans="1:10" ht="19.5" x14ac:dyDescent="0.25">
      <c r="C15" s="20"/>
      <c r="D15" s="21"/>
      <c r="E15" s="13" t="s">
        <v>8</v>
      </c>
      <c r="F15" s="19" t="s">
        <v>9</v>
      </c>
      <c r="G15" s="23"/>
      <c r="H15" s="24"/>
      <c r="J15" s="25"/>
    </row>
    <row r="16" spans="1:10" ht="19.5" x14ac:dyDescent="0.25">
      <c r="C16" s="20"/>
      <c r="D16" s="21"/>
      <c r="E16" s="13" t="s">
        <v>10</v>
      </c>
      <c r="F16" s="19" t="s">
        <v>11</v>
      </c>
      <c r="G16" s="23"/>
      <c r="H16" s="24"/>
      <c r="J16" s="25"/>
    </row>
    <row r="17" spans="2:10" ht="19.5" x14ac:dyDescent="0.25">
      <c r="C17" s="20"/>
      <c r="D17" s="21"/>
      <c r="E17" s="18" t="s">
        <v>12</v>
      </c>
      <c r="F17" s="19" t="s">
        <v>13</v>
      </c>
      <c r="G17" s="23"/>
      <c r="H17" s="24"/>
      <c r="J17" s="25"/>
    </row>
    <row r="18" spans="2:10" ht="19.5" x14ac:dyDescent="0.25">
      <c r="C18" s="20"/>
      <c r="D18" s="21"/>
      <c r="E18" s="18" t="s">
        <v>14</v>
      </c>
      <c r="F18" s="19" t="s">
        <v>15</v>
      </c>
      <c r="G18" s="23"/>
      <c r="H18" s="24"/>
      <c r="J18" s="25"/>
    </row>
    <row r="19" spans="2:10" x14ac:dyDescent="0.15">
      <c r="D19" s="5"/>
      <c r="F19" s="26" t="s">
        <v>16</v>
      </c>
      <c r="G19" s="17"/>
    </row>
    <row r="20" spans="2:10" ht="19.5" x14ac:dyDescent="0.25">
      <c r="B20" s="27"/>
      <c r="D20" s="28"/>
      <c r="E20" s="29" t="s">
        <v>17</v>
      </c>
      <c r="F20" s="30" t="s">
        <v>18</v>
      </c>
      <c r="G20" s="17"/>
    </row>
    <row r="21" spans="2:10" ht="30" x14ac:dyDescent="0.25">
      <c r="B21" s="27"/>
      <c r="D21" s="28"/>
      <c r="E21" s="29" t="s">
        <v>19</v>
      </c>
      <c r="F21" s="30" t="s">
        <v>20</v>
      </c>
      <c r="G21" s="17"/>
    </row>
    <row r="22" spans="2:10" x14ac:dyDescent="0.15">
      <c r="D22" s="5"/>
      <c r="F22" s="26" t="s">
        <v>21</v>
      </c>
      <c r="G22" s="17"/>
    </row>
    <row r="23" spans="2:10" ht="19.5" x14ac:dyDescent="0.25">
      <c r="B23" s="27"/>
      <c r="D23" s="28"/>
      <c r="E23" s="29" t="s">
        <v>22</v>
      </c>
      <c r="F23" s="30" t="s">
        <v>23</v>
      </c>
      <c r="G23" s="17"/>
    </row>
    <row r="24" spans="2:10" ht="19.5" x14ac:dyDescent="0.25">
      <c r="B24" s="27"/>
      <c r="D24" s="28"/>
      <c r="E24" s="29" t="s">
        <v>24</v>
      </c>
      <c r="F24" s="30" t="s">
        <v>25</v>
      </c>
      <c r="G24" s="17"/>
    </row>
    <row r="25" spans="2:10" x14ac:dyDescent="0.15">
      <c r="D25" s="5"/>
      <c r="F25" s="26" t="s">
        <v>26</v>
      </c>
      <c r="G25" s="17"/>
    </row>
    <row r="26" spans="2:10" ht="19.5" x14ac:dyDescent="0.25">
      <c r="B26" s="27"/>
      <c r="D26" s="28"/>
      <c r="E26" s="29" t="s">
        <v>22</v>
      </c>
      <c r="F26" s="30" t="s">
        <v>27</v>
      </c>
      <c r="G26" s="17"/>
    </row>
    <row r="27" spans="2:10" ht="19.5" x14ac:dyDescent="0.25">
      <c r="B27" s="27"/>
      <c r="D27" s="28"/>
      <c r="E27" s="29" t="s">
        <v>24</v>
      </c>
      <c r="F27" s="30" t="s">
        <v>26</v>
      </c>
      <c r="G27" s="17"/>
    </row>
    <row r="28" spans="2:10" ht="22.5" x14ac:dyDescent="0.15">
      <c r="D28" s="5"/>
      <c r="F28" s="26" t="s">
        <v>28</v>
      </c>
      <c r="G28" s="17"/>
    </row>
    <row r="29" spans="2:10" ht="19.5" x14ac:dyDescent="0.25">
      <c r="B29" s="27"/>
      <c r="D29" s="28"/>
      <c r="E29" s="29" t="s">
        <v>22</v>
      </c>
      <c r="F29" s="31" t="s">
        <v>29</v>
      </c>
      <c r="G29" s="17"/>
    </row>
    <row r="30" spans="2:10" ht="19.5" x14ac:dyDescent="0.25">
      <c r="B30" s="27"/>
      <c r="D30" s="28"/>
      <c r="E30" s="29" t="s">
        <v>24</v>
      </c>
      <c r="F30" s="31" t="s">
        <v>30</v>
      </c>
      <c r="G30" s="17"/>
    </row>
    <row r="31" spans="2:10" ht="19.5" x14ac:dyDescent="0.25">
      <c r="B31" s="27"/>
      <c r="D31" s="28"/>
      <c r="E31" s="29" t="s">
        <v>31</v>
      </c>
      <c r="F31" s="31" t="s">
        <v>32</v>
      </c>
      <c r="G31" s="17"/>
    </row>
    <row r="32" spans="2:10" ht="19.5" x14ac:dyDescent="0.25">
      <c r="B32" s="27"/>
      <c r="D32" s="28"/>
      <c r="E32" s="29" t="s">
        <v>33</v>
      </c>
      <c r="F32" s="31" t="s">
        <v>34</v>
      </c>
      <c r="G32" s="17"/>
    </row>
  </sheetData>
  <mergeCells count="1">
    <mergeCell ref="E6:F6"/>
  </mergeCells>
  <dataValidations count="3">
    <dataValidation operator="lessThanOrEqual" allowBlank="1" showInputMessage="1" showErrorMessage="1" errorTitle="Ошибка" error="Допускается ввод не более 900 символов!" sqref="F12" xr:uid="{4B611051-F11E-458E-A91F-ABFADBA16A3C}"/>
    <dataValidation allowBlank="1" showInputMessage="1" showErrorMessage="1" promptTitle="Ввод" prompt="Для выбора организации необходимо два раза нажать левую кнопку мыши!" sqref="F14" xr:uid="{34E77AB8-2139-4412-980E-3A63B1F0D95E}"/>
    <dataValidation type="textLength" operator="lessThanOrEqual" allowBlank="1" showInputMessage="1" showErrorMessage="1" errorTitle="Ошибка" error="Допускается ввод не более 900 символов!" sqref="F29:F32 F26:F27 F23:F24 F20:F21" xr:uid="{4974E4C0-465F-4C8D-A5AE-C03C45B81938}">
      <formula1>900</formula1>
    </dataValidation>
  </dataValidations>
  <pageMargins left="0.31496062992125984" right="0" top="0.15748031496062992" bottom="0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211B8-23B4-4CE1-9702-C7DCCE254E2D}">
  <sheetPr codeName="Лист2"/>
  <dimension ref="A1:W43"/>
  <sheetViews>
    <sheetView topLeftCell="C7" workbookViewId="0">
      <selection activeCell="E66" activeCellId="1" sqref="E33 E66"/>
    </sheetView>
  </sheetViews>
  <sheetFormatPr defaultColWidth="14.140625" defaultRowHeight="12" x14ac:dyDescent="0.2"/>
  <cols>
    <col min="1" max="1" width="14.140625" style="95" hidden="1" customWidth="1"/>
    <col min="2" max="2" width="14.140625" style="39" hidden="1" customWidth="1"/>
    <col min="3" max="3" width="1.140625" style="46" customWidth="1"/>
    <col min="4" max="4" width="7.140625" style="47" customWidth="1"/>
    <col min="5" max="5" width="41.85546875" style="48" customWidth="1"/>
    <col min="6" max="6" width="9.85546875" style="48" customWidth="1"/>
    <col min="7" max="22" width="9.28515625" style="48" customWidth="1"/>
    <col min="23" max="23" width="12.5703125" style="48" customWidth="1"/>
    <col min="24" max="16384" width="14.140625" style="79"/>
  </cols>
  <sheetData>
    <row r="1" spans="1:23" s="39" customFormat="1" ht="22.5" hidden="1" customHeight="1" x14ac:dyDescent="0.2">
      <c r="A1" s="32"/>
      <c r="B1" s="33">
        <v>0</v>
      </c>
      <c r="C1" s="34">
        <v>0</v>
      </c>
      <c r="D1" s="34">
        <v>0</v>
      </c>
      <c r="E1" s="35">
        <f>2025</f>
        <v>2025</v>
      </c>
      <c r="F1" s="36"/>
      <c r="G1" s="37" t="s">
        <v>35</v>
      </c>
      <c r="H1" s="38" t="s">
        <v>35</v>
      </c>
      <c r="I1" s="38" t="s">
        <v>35</v>
      </c>
      <c r="J1" s="38" t="s">
        <v>36</v>
      </c>
      <c r="K1" s="38" t="s">
        <v>37</v>
      </c>
      <c r="L1" s="38" t="s">
        <v>38</v>
      </c>
      <c r="M1" s="38" t="s">
        <v>39</v>
      </c>
      <c r="N1" s="38" t="s">
        <v>40</v>
      </c>
      <c r="O1" s="38" t="s">
        <v>41</v>
      </c>
      <c r="P1" s="38" t="s">
        <v>42</v>
      </c>
      <c r="Q1" s="38" t="s">
        <v>43</v>
      </c>
      <c r="R1" s="38" t="s">
        <v>44</v>
      </c>
      <c r="S1" s="38" t="s">
        <v>45</v>
      </c>
      <c r="T1" s="38" t="s">
        <v>46</v>
      </c>
      <c r="U1" s="38" t="s">
        <v>47</v>
      </c>
      <c r="V1" s="38" t="s">
        <v>35</v>
      </c>
      <c r="W1" s="36"/>
    </row>
    <row r="2" spans="1:23" s="41" customFormat="1" ht="22.5" hidden="1" customHeight="1" x14ac:dyDescent="0.15">
      <c r="A2" s="40"/>
      <c r="D2" s="42"/>
      <c r="G2" s="43">
        <f>$E$1-2</f>
        <v>2023</v>
      </c>
      <c r="H2" s="43">
        <f>$E$1-2</f>
        <v>2023</v>
      </c>
      <c r="I2" s="43">
        <f>$E$1-1</f>
        <v>2024</v>
      </c>
      <c r="J2" s="43">
        <f t="shared" ref="J2:V2" si="0">$E$1</f>
        <v>2025</v>
      </c>
      <c r="K2" s="43">
        <f t="shared" si="0"/>
        <v>2025</v>
      </c>
      <c r="L2" s="43">
        <f t="shared" si="0"/>
        <v>2025</v>
      </c>
      <c r="M2" s="43">
        <f t="shared" si="0"/>
        <v>2025</v>
      </c>
      <c r="N2" s="43">
        <f t="shared" si="0"/>
        <v>2025</v>
      </c>
      <c r="O2" s="43">
        <f t="shared" si="0"/>
        <v>2025</v>
      </c>
      <c r="P2" s="43">
        <f t="shared" si="0"/>
        <v>2025</v>
      </c>
      <c r="Q2" s="43">
        <f t="shared" si="0"/>
        <v>2025</v>
      </c>
      <c r="R2" s="43">
        <f t="shared" si="0"/>
        <v>2025</v>
      </c>
      <c r="S2" s="43">
        <f t="shared" si="0"/>
        <v>2025</v>
      </c>
      <c r="T2" s="43">
        <f t="shared" si="0"/>
        <v>2025</v>
      </c>
      <c r="U2" s="43">
        <f t="shared" si="0"/>
        <v>2025</v>
      </c>
      <c r="V2" s="43">
        <f t="shared" si="0"/>
        <v>2025</v>
      </c>
    </row>
    <row r="3" spans="1:23" s="38" customFormat="1" ht="22.5" hidden="1" customHeight="1" x14ac:dyDescent="0.15">
      <c r="D3" s="44"/>
      <c r="G3" s="38" t="s">
        <v>48</v>
      </c>
      <c r="H3" s="38" t="s">
        <v>49</v>
      </c>
      <c r="I3" s="38" t="s">
        <v>48</v>
      </c>
      <c r="J3" s="38" t="s">
        <v>48</v>
      </c>
      <c r="K3" s="38" t="s">
        <v>48</v>
      </c>
      <c r="L3" s="38" t="s">
        <v>48</v>
      </c>
      <c r="M3" s="38" t="s">
        <v>48</v>
      </c>
      <c r="N3" s="38" t="s">
        <v>48</v>
      </c>
      <c r="O3" s="38" t="s">
        <v>48</v>
      </c>
      <c r="P3" s="38" t="s">
        <v>48</v>
      </c>
      <c r="Q3" s="38" t="s">
        <v>48</v>
      </c>
      <c r="R3" s="38" t="s">
        <v>48</v>
      </c>
      <c r="S3" s="38" t="s">
        <v>48</v>
      </c>
      <c r="T3" s="38" t="s">
        <v>48</v>
      </c>
      <c r="U3" s="38" t="s">
        <v>48</v>
      </c>
      <c r="V3" s="38" t="s">
        <v>48</v>
      </c>
    </row>
    <row r="4" spans="1:23" s="48" customFormat="1" ht="22.5" hidden="1" customHeight="1" x14ac:dyDescent="0.15">
      <c r="A4" s="45"/>
      <c r="B4" s="36"/>
      <c r="C4" s="46"/>
      <c r="D4" s="47"/>
    </row>
    <row r="5" spans="1:23" s="48" customFormat="1" ht="22.5" hidden="1" customHeight="1" x14ac:dyDescent="0.15">
      <c r="A5" s="45"/>
      <c r="B5" s="36"/>
      <c r="C5" s="46"/>
      <c r="D5" s="47"/>
    </row>
    <row r="6" spans="1:23" s="48" customFormat="1" ht="22.5" hidden="1" customHeight="1" x14ac:dyDescent="0.15">
      <c r="A6" s="45"/>
      <c r="B6" s="36"/>
      <c r="C6" s="46"/>
      <c r="D6" s="47"/>
    </row>
    <row r="7" spans="1:23" s="53" customFormat="1" ht="22.5" customHeight="1" x14ac:dyDescent="0.15">
      <c r="A7" s="49"/>
      <c r="B7" s="50"/>
      <c r="C7" s="51"/>
      <c r="D7" s="52"/>
      <c r="W7" s="54" t="s">
        <v>50</v>
      </c>
    </row>
    <row r="8" spans="1:23" s="48" customFormat="1" ht="29.25" customHeight="1" x14ac:dyDescent="0.15">
      <c r="A8" s="45"/>
      <c r="B8" s="36"/>
      <c r="C8" s="55"/>
      <c r="D8" s="127" t="str">
        <f>"Предложения " &amp; org &amp; " по технологическому расходу электроэнергии (мощности) - потерям в электрических сетях на "&amp; 2025 &amp;" год в субъекте РФ: "&amp;region_name</f>
        <v>Предложения АО "Салехардэнерго" по технологическому расходу электроэнергии (мощности) - потерям в электрических сетях на 2025 год в субъекте РФ: Ямало-Ненецкий автономный округ</v>
      </c>
      <c r="E8" s="127"/>
      <c r="F8" s="127"/>
      <c r="G8" s="127"/>
      <c r="H8" s="127"/>
      <c r="I8" s="127"/>
      <c r="J8" s="127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</row>
    <row r="9" spans="1:23" s="48" customFormat="1" ht="3" customHeight="1" x14ac:dyDescent="0.15">
      <c r="A9" s="45"/>
      <c r="B9" s="36"/>
      <c r="C9" s="46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1:23" s="48" customFormat="1" ht="52.5" customHeight="1" x14ac:dyDescent="0.15">
      <c r="A10" s="45"/>
      <c r="B10" s="36"/>
      <c r="C10" s="46"/>
      <c r="D10" s="59" t="s">
        <v>51</v>
      </c>
      <c r="E10" s="59" t="s">
        <v>52</v>
      </c>
      <c r="F10" s="60" t="s">
        <v>53</v>
      </c>
      <c r="G10" s="61" t="str">
        <f t="shared" ref="G10:V10" si="1">G3&amp;" "&amp;G2&amp;" "&amp;G1</f>
        <v>План 2023 Год</v>
      </c>
      <c r="H10" s="61" t="str">
        <f t="shared" si="1"/>
        <v>Факт 2023 Год</v>
      </c>
      <c r="I10" s="61" t="str">
        <f t="shared" si="1"/>
        <v>План 2024 Год</v>
      </c>
      <c r="J10" s="61" t="str">
        <f t="shared" si="1"/>
        <v>План 2025 Январь</v>
      </c>
      <c r="K10" s="61" t="str">
        <f t="shared" si="1"/>
        <v>План 2025 Февраль</v>
      </c>
      <c r="L10" s="61" t="str">
        <f t="shared" si="1"/>
        <v>План 2025 Март</v>
      </c>
      <c r="M10" s="61" t="str">
        <f t="shared" si="1"/>
        <v>План 2025 Апрель</v>
      </c>
      <c r="N10" s="61" t="str">
        <f t="shared" si="1"/>
        <v>План 2025 Май</v>
      </c>
      <c r="O10" s="61" t="str">
        <f t="shared" si="1"/>
        <v>План 2025 Июнь</v>
      </c>
      <c r="P10" s="61" t="str">
        <f t="shared" si="1"/>
        <v>План 2025 Июль</v>
      </c>
      <c r="Q10" s="61" t="str">
        <f t="shared" si="1"/>
        <v>План 2025 Август</v>
      </c>
      <c r="R10" s="61" t="str">
        <f t="shared" si="1"/>
        <v>План 2025 Сентябрь</v>
      </c>
      <c r="S10" s="61" t="str">
        <f t="shared" si="1"/>
        <v>План 2025 Октябрь</v>
      </c>
      <c r="T10" s="61" t="str">
        <f t="shared" si="1"/>
        <v>План 2025 Ноябрь</v>
      </c>
      <c r="U10" s="61" t="str">
        <f t="shared" si="1"/>
        <v>План 2025 Декабрь</v>
      </c>
      <c r="V10" s="61" t="str">
        <f t="shared" si="1"/>
        <v>План 2025 Год</v>
      </c>
      <c r="W10" s="61" t="s">
        <v>54</v>
      </c>
    </row>
    <row r="11" spans="1:23" s="48" customFormat="1" ht="11.25" x14ac:dyDescent="0.15">
      <c r="A11" s="45"/>
      <c r="B11" s="36"/>
      <c r="C11" s="46"/>
      <c r="D11" s="62">
        <v>1</v>
      </c>
      <c r="E11" s="62">
        <v>2</v>
      </c>
      <c r="F11" s="62">
        <v>3</v>
      </c>
      <c r="G11" s="62">
        <v>4</v>
      </c>
      <c r="H11" s="62">
        <v>5</v>
      </c>
      <c r="I11" s="62">
        <v>6</v>
      </c>
      <c r="J11" s="62">
        <v>7</v>
      </c>
      <c r="K11" s="62">
        <v>8</v>
      </c>
      <c r="L11" s="62">
        <v>9</v>
      </c>
      <c r="M11" s="62">
        <v>10</v>
      </c>
      <c r="N11" s="62">
        <v>11</v>
      </c>
      <c r="O11" s="62">
        <v>12</v>
      </c>
      <c r="P11" s="62">
        <v>13</v>
      </c>
      <c r="Q11" s="62">
        <v>14</v>
      </c>
      <c r="R11" s="62">
        <v>15</v>
      </c>
      <c r="S11" s="62">
        <v>16</v>
      </c>
      <c r="T11" s="62">
        <v>17</v>
      </c>
      <c r="U11" s="62">
        <v>18</v>
      </c>
      <c r="V11" s="62">
        <v>19</v>
      </c>
      <c r="W11" s="62">
        <v>20</v>
      </c>
    </row>
    <row r="12" spans="1:23" s="48" customFormat="1" ht="11.25" x14ac:dyDescent="0.15">
      <c r="A12" s="45"/>
      <c r="B12" s="36"/>
      <c r="C12" s="46"/>
      <c r="D12" s="63" t="s">
        <v>55</v>
      </c>
      <c r="E12" s="64"/>
      <c r="F12" s="65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7"/>
      <c r="W12" s="67"/>
    </row>
    <row r="13" spans="1:23" s="48" customFormat="1" ht="11.25" x14ac:dyDescent="0.15">
      <c r="A13" s="45"/>
      <c r="B13" s="36"/>
      <c r="C13" s="46"/>
      <c r="D13" s="68"/>
      <c r="E13" s="69" t="s">
        <v>56</v>
      </c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</row>
    <row r="14" spans="1:23" s="48" customFormat="1" ht="11.25" x14ac:dyDescent="0.15">
      <c r="A14" s="45" t="s">
        <v>57</v>
      </c>
      <c r="B14" s="36" t="s">
        <v>58</v>
      </c>
      <c r="C14" s="46"/>
      <c r="D14" s="59">
        <v>1</v>
      </c>
      <c r="E14" s="72" t="s">
        <v>59</v>
      </c>
      <c r="F14" s="59" t="s">
        <v>60</v>
      </c>
      <c r="G14" s="73">
        <v>0.32918999999999998</v>
      </c>
      <c r="H14" s="73">
        <v>0.32443735639999999</v>
      </c>
      <c r="I14" s="73">
        <v>0.324373564</v>
      </c>
      <c r="J14" s="73">
        <v>3.6114767749675605E-2</v>
      </c>
      <c r="K14" s="73">
        <v>3.0388716853204968E-2</v>
      </c>
      <c r="L14" s="73">
        <v>3.0046984989370116E-2</v>
      </c>
      <c r="M14" s="73">
        <v>2.4048699119089734E-2</v>
      </c>
      <c r="N14" s="73">
        <v>1.9026790798408584E-2</v>
      </c>
      <c r="O14" s="73">
        <v>1.5159576469235094E-2</v>
      </c>
      <c r="P14" s="73">
        <v>1.2596948070938042E-2</v>
      </c>
      <c r="Q14" s="73">
        <v>1.5076414720832649E-2</v>
      </c>
      <c r="R14" s="73">
        <v>1.9238108864792172E-2</v>
      </c>
      <c r="S14" s="73">
        <v>2.4557763085999378E-2</v>
      </c>
      <c r="T14" s="73">
        <v>2.9791252531942567E-2</v>
      </c>
      <c r="U14" s="73">
        <v>3.5115056746511074E-2</v>
      </c>
      <c r="V14" s="124">
        <f>SUM(J14:U14)</f>
        <v>0.29116108000000002</v>
      </c>
      <c r="W14" s="75"/>
    </row>
    <row r="15" spans="1:23" s="48" customFormat="1" ht="22.5" x14ac:dyDescent="0.15">
      <c r="A15" s="45" t="s">
        <v>61</v>
      </c>
      <c r="B15" s="36" t="s">
        <v>62</v>
      </c>
      <c r="C15" s="46"/>
      <c r="D15" s="59">
        <v>2</v>
      </c>
      <c r="E15" s="72" t="s">
        <v>63</v>
      </c>
      <c r="F15" s="59" t="s">
        <v>60</v>
      </c>
      <c r="G15" s="76">
        <f t="shared" ref="G15:U15" si="2">SUM(G16:G17)</f>
        <v>1.7049999999999999E-2</v>
      </c>
      <c r="H15" s="76">
        <f t="shared" si="2"/>
        <v>1.6802551999999998E-2</v>
      </c>
      <c r="I15" s="76">
        <f t="shared" si="2"/>
        <v>1.4305922E-2</v>
      </c>
      <c r="J15" s="76">
        <f t="shared" si="2"/>
        <v>1.8057383874837806E-3</v>
      </c>
      <c r="K15" s="76">
        <f t="shared" si="2"/>
        <v>1.5194358426602484E-3</v>
      </c>
      <c r="L15" s="76">
        <f t="shared" si="2"/>
        <v>1.502349249468506E-3</v>
      </c>
      <c r="M15" s="76">
        <f t="shared" si="2"/>
        <v>1.2024349559544868E-3</v>
      </c>
      <c r="N15" s="76">
        <f t="shared" si="2"/>
        <v>9.5133953992042916E-4</v>
      </c>
      <c r="O15" s="76">
        <f t="shared" si="2"/>
        <v>7.5797882346175481E-4</v>
      </c>
      <c r="P15" s="76">
        <f t="shared" si="2"/>
        <v>6.2984740354690217E-4</v>
      </c>
      <c r="Q15" s="76">
        <f t="shared" si="2"/>
        <v>7.5382073604163247E-4</v>
      </c>
      <c r="R15" s="76">
        <f t="shared" si="2"/>
        <v>9.6190544323960863E-4</v>
      </c>
      <c r="S15" s="76">
        <f t="shared" si="2"/>
        <v>1.2278881542999687E-3</v>
      </c>
      <c r="T15" s="76">
        <f t="shared" si="2"/>
        <v>1.4895626265971284E-3</v>
      </c>
      <c r="U15" s="76">
        <f t="shared" si="2"/>
        <v>1.7557528373255537E-3</v>
      </c>
      <c r="V15" s="74">
        <f>SUM(J15:U15)</f>
        <v>1.4558054000000001E-2</v>
      </c>
      <c r="W15" s="75"/>
    </row>
    <row r="16" spans="1:23" s="48" customFormat="1" ht="11.25" x14ac:dyDescent="0.15">
      <c r="A16" s="45" t="s">
        <v>64</v>
      </c>
      <c r="B16" s="36" t="s">
        <v>65</v>
      </c>
      <c r="C16" s="46"/>
      <c r="D16" s="59" t="s">
        <v>66</v>
      </c>
      <c r="E16" s="77" t="s">
        <v>65</v>
      </c>
      <c r="F16" s="59" t="s">
        <v>60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4">
        <f>SUM(J16:U16)</f>
        <v>0</v>
      </c>
      <c r="W16" s="75"/>
    </row>
    <row r="17" spans="1:23" ht="22.5" x14ac:dyDescent="0.2">
      <c r="A17" s="45" t="s">
        <v>67</v>
      </c>
      <c r="B17" s="36" t="s">
        <v>68</v>
      </c>
      <c r="D17" s="59" t="s">
        <v>69</v>
      </c>
      <c r="E17" s="77" t="s">
        <v>68</v>
      </c>
      <c r="F17" s="59" t="s">
        <v>60</v>
      </c>
      <c r="G17" s="78">
        <v>1.7049999999999999E-2</v>
      </c>
      <c r="H17" s="78">
        <v>1.6802551999999998E-2</v>
      </c>
      <c r="I17" s="78">
        <v>1.4305922E-2</v>
      </c>
      <c r="J17" s="78">
        <v>1.8057383874837806E-3</v>
      </c>
      <c r="K17" s="78">
        <v>1.5194358426602484E-3</v>
      </c>
      <c r="L17" s="78">
        <v>1.502349249468506E-3</v>
      </c>
      <c r="M17" s="78">
        <v>1.2024349559544868E-3</v>
      </c>
      <c r="N17" s="78">
        <v>9.5133953992042916E-4</v>
      </c>
      <c r="O17" s="78">
        <v>7.5797882346175481E-4</v>
      </c>
      <c r="P17" s="78">
        <v>6.2984740354690217E-4</v>
      </c>
      <c r="Q17" s="78">
        <v>7.5382073604163247E-4</v>
      </c>
      <c r="R17" s="78">
        <v>9.6190544323960863E-4</v>
      </c>
      <c r="S17" s="78">
        <v>1.2278881542999687E-3</v>
      </c>
      <c r="T17" s="78">
        <v>1.4895626265971284E-3</v>
      </c>
      <c r="U17" s="78">
        <v>1.7557528373255537E-3</v>
      </c>
      <c r="V17" s="74">
        <f>SUM(J17:U17)</f>
        <v>1.4558054000000001E-2</v>
      </c>
      <c r="W17" s="75"/>
    </row>
    <row r="18" spans="1:23" x14ac:dyDescent="0.2">
      <c r="A18" s="45" t="s">
        <v>70</v>
      </c>
      <c r="B18" s="36" t="s">
        <v>71</v>
      </c>
      <c r="D18" s="59">
        <v>3</v>
      </c>
      <c r="E18" s="72" t="s">
        <v>72</v>
      </c>
      <c r="F18" s="60" t="s">
        <v>73</v>
      </c>
      <c r="G18" s="76">
        <f t="shared" ref="G18:V18" si="3">IF(G14=0,0,G15/G14*100)</f>
        <v>5.179379689540994</v>
      </c>
      <c r="H18" s="76">
        <f t="shared" si="3"/>
        <v>5.1789819108512498</v>
      </c>
      <c r="I18" s="76">
        <f t="shared" si="3"/>
        <v>4.4103230311333261</v>
      </c>
      <c r="J18" s="76">
        <f t="shared" si="3"/>
        <v>5.0000000000000009</v>
      </c>
      <c r="K18" s="76">
        <f t="shared" si="3"/>
        <v>5</v>
      </c>
      <c r="L18" s="76">
        <f t="shared" si="3"/>
        <v>5.0000000000000009</v>
      </c>
      <c r="M18" s="76">
        <f t="shared" si="3"/>
        <v>5</v>
      </c>
      <c r="N18" s="76">
        <f t="shared" si="3"/>
        <v>5</v>
      </c>
      <c r="O18" s="76">
        <f t="shared" si="3"/>
        <v>5</v>
      </c>
      <c r="P18" s="76">
        <f t="shared" si="3"/>
        <v>5</v>
      </c>
      <c r="Q18" s="76">
        <f t="shared" si="3"/>
        <v>5</v>
      </c>
      <c r="R18" s="76">
        <f t="shared" si="3"/>
        <v>5</v>
      </c>
      <c r="S18" s="76">
        <f t="shared" si="3"/>
        <v>5</v>
      </c>
      <c r="T18" s="76">
        <f t="shared" si="3"/>
        <v>5</v>
      </c>
      <c r="U18" s="76">
        <f t="shared" si="3"/>
        <v>5</v>
      </c>
      <c r="V18" s="76">
        <f t="shared" si="3"/>
        <v>5</v>
      </c>
      <c r="W18" s="80"/>
    </row>
    <row r="19" spans="1:23" x14ac:dyDescent="0.2">
      <c r="A19" s="45" t="s">
        <v>74</v>
      </c>
      <c r="B19" s="36" t="s">
        <v>75</v>
      </c>
      <c r="D19" s="59">
        <v>4</v>
      </c>
      <c r="E19" s="72" t="s">
        <v>76</v>
      </c>
      <c r="F19" s="59" t="s">
        <v>60</v>
      </c>
      <c r="G19" s="76">
        <f t="shared" ref="G19:U19" si="4">G14-G15</f>
        <v>0.31213999999999997</v>
      </c>
      <c r="H19" s="76">
        <f t="shared" si="4"/>
        <v>0.30763480440000002</v>
      </c>
      <c r="I19" s="76">
        <f t="shared" si="4"/>
        <v>0.31006764199999998</v>
      </c>
      <c r="J19" s="76">
        <f t="shared" si="4"/>
        <v>3.4309029362191823E-2</v>
      </c>
      <c r="K19" s="76">
        <f t="shared" si="4"/>
        <v>2.8869281010544721E-2</v>
      </c>
      <c r="L19" s="76">
        <f t="shared" si="4"/>
        <v>2.8544635739901611E-2</v>
      </c>
      <c r="M19" s="76">
        <f t="shared" si="4"/>
        <v>2.2846264163135246E-2</v>
      </c>
      <c r="N19" s="76">
        <f t="shared" si="4"/>
        <v>1.8075451258488154E-2</v>
      </c>
      <c r="O19" s="76">
        <f t="shared" si="4"/>
        <v>1.440159764577334E-2</v>
      </c>
      <c r="P19" s="76">
        <f t="shared" si="4"/>
        <v>1.196710066739114E-2</v>
      </c>
      <c r="Q19" s="76">
        <f t="shared" si="4"/>
        <v>1.4322593984791016E-2</v>
      </c>
      <c r="R19" s="76">
        <f t="shared" si="4"/>
        <v>1.8276203421552565E-2</v>
      </c>
      <c r="S19" s="76">
        <f t="shared" si="4"/>
        <v>2.3329874931699409E-2</v>
      </c>
      <c r="T19" s="76">
        <f t="shared" si="4"/>
        <v>2.8301689905345439E-2</v>
      </c>
      <c r="U19" s="76">
        <f t="shared" si="4"/>
        <v>3.3359303909185518E-2</v>
      </c>
      <c r="V19" s="74">
        <f>SUM(J19:U19)</f>
        <v>0.27660302600000003</v>
      </c>
      <c r="W19" s="75"/>
    </row>
    <row r="20" spans="1:23" x14ac:dyDescent="0.2">
      <c r="A20" s="45" t="s">
        <v>77</v>
      </c>
      <c r="B20" s="36" t="s">
        <v>78</v>
      </c>
      <c r="D20" s="59" t="s">
        <v>79</v>
      </c>
      <c r="E20" s="77" t="s">
        <v>78</v>
      </c>
      <c r="F20" s="59" t="s">
        <v>60</v>
      </c>
      <c r="G20" s="78">
        <v>0</v>
      </c>
      <c r="H20" s="78">
        <v>3.346462E-2</v>
      </c>
      <c r="I20" s="78">
        <v>3.346462E-2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4">
        <f>SUM(J20:U20)</f>
        <v>0</v>
      </c>
      <c r="W20" s="75"/>
    </row>
    <row r="21" spans="1:23" ht="22.5" x14ac:dyDescent="0.2">
      <c r="A21" s="45" t="s">
        <v>80</v>
      </c>
      <c r="B21" s="36" t="s">
        <v>81</v>
      </c>
      <c r="D21" s="59" t="s">
        <v>82</v>
      </c>
      <c r="E21" s="77" t="s">
        <v>81</v>
      </c>
      <c r="F21" s="59" t="s">
        <v>60</v>
      </c>
      <c r="G21" s="78">
        <v>0.31213999999999997</v>
      </c>
      <c r="H21" s="78">
        <v>0.27410639199999998</v>
      </c>
      <c r="I21" s="78">
        <v>0.27660302199999998</v>
      </c>
      <c r="J21" s="78">
        <v>3.4309029362191823E-2</v>
      </c>
      <c r="K21" s="78">
        <v>2.8869281010544721E-2</v>
      </c>
      <c r="L21" s="78">
        <v>2.8544635739901611E-2</v>
      </c>
      <c r="M21" s="78">
        <v>2.284626416313525E-2</v>
      </c>
      <c r="N21" s="78">
        <v>1.8075451258488154E-2</v>
      </c>
      <c r="O21" s="78">
        <v>1.440159764577334E-2</v>
      </c>
      <c r="P21" s="78">
        <v>1.196710066739114E-2</v>
      </c>
      <c r="Q21" s="78">
        <v>1.4322593984791016E-2</v>
      </c>
      <c r="R21" s="78">
        <v>1.8276203421552565E-2</v>
      </c>
      <c r="S21" s="78">
        <v>2.3329874931699406E-2</v>
      </c>
      <c r="T21" s="78">
        <v>2.8301689905345435E-2</v>
      </c>
      <c r="U21" s="78">
        <v>3.3359303909185518E-2</v>
      </c>
      <c r="V21" s="74">
        <f>SUM(J21:U21)</f>
        <v>0.27660302600000003</v>
      </c>
      <c r="W21" s="75"/>
    </row>
    <row r="22" spans="1:23" x14ac:dyDescent="0.2">
      <c r="A22" s="45"/>
      <c r="B22" s="36"/>
      <c r="D22" s="81"/>
      <c r="E22" s="82" t="s">
        <v>83</v>
      </c>
      <c r="F22" s="83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</row>
    <row r="23" spans="1:23" ht="11.25" customHeight="1" x14ac:dyDescent="0.2">
      <c r="A23" s="45" t="s">
        <v>84</v>
      </c>
      <c r="B23" s="36" t="s">
        <v>58</v>
      </c>
      <c r="D23" s="59" t="s">
        <v>85</v>
      </c>
      <c r="E23" s="72" t="s">
        <v>59</v>
      </c>
      <c r="F23" s="59" t="s">
        <v>86</v>
      </c>
      <c r="G23" s="73">
        <f>G14/8760*1000</f>
        <v>3.7578767123287671E-2</v>
      </c>
      <c r="H23" s="73">
        <f>H14/8760*1000</f>
        <v>3.7036227899543375E-2</v>
      </c>
      <c r="I23" s="73">
        <f>I14/8784*1000</f>
        <v>3.6927773679417124E-2</v>
      </c>
      <c r="J23" s="73">
        <f>J14/744*1000</f>
        <v>4.8541354502252158E-2</v>
      </c>
      <c r="K23" s="73">
        <f>K14/(24*28)*1000</f>
        <v>4.5221304841078822E-2</v>
      </c>
      <c r="L23" s="73">
        <f t="shared" ref="L23:U23" si="5">L14/744*1000</f>
        <v>4.0385732512594245E-2</v>
      </c>
      <c r="M23" s="73">
        <f>M14/720*1000</f>
        <v>3.3400970998735742E-2</v>
      </c>
      <c r="N23" s="73">
        <f t="shared" si="5"/>
        <v>2.5573643546248099E-2</v>
      </c>
      <c r="O23" s="73">
        <f>O14/720*1000</f>
        <v>2.1054967318382078E-2</v>
      </c>
      <c r="P23" s="73">
        <f t="shared" si="5"/>
        <v>1.6931381815776938E-2</v>
      </c>
      <c r="Q23" s="73">
        <f t="shared" si="5"/>
        <v>2.0263998280689047E-2</v>
      </c>
      <c r="R23" s="73">
        <f>R14/720*1000</f>
        <v>2.6719595645544682E-2</v>
      </c>
      <c r="S23" s="73">
        <f t="shared" si="5"/>
        <v>3.3007746083332498E-2</v>
      </c>
      <c r="T23" s="73">
        <f>T14/720*1000</f>
        <v>4.1376739627698007E-2</v>
      </c>
      <c r="U23" s="73">
        <f t="shared" si="5"/>
        <v>4.7197656917353593E-2</v>
      </c>
      <c r="V23" s="74">
        <f>SUM(J23:U23)/12</f>
        <v>3.3306257674140492E-2</v>
      </c>
      <c r="W23" s="75"/>
    </row>
    <row r="24" spans="1:23" ht="22.5" x14ac:dyDescent="0.2">
      <c r="A24" s="45" t="s">
        <v>87</v>
      </c>
      <c r="B24" s="36" t="s">
        <v>62</v>
      </c>
      <c r="D24" s="59" t="s">
        <v>88</v>
      </c>
      <c r="E24" s="72" t="s">
        <v>63</v>
      </c>
      <c r="F24" s="59" t="s">
        <v>86</v>
      </c>
      <c r="G24" s="76">
        <f t="shared" ref="G24:V24" si="6">SUM(G25:G26)</f>
        <v>1.9463470319634702E-3</v>
      </c>
      <c r="H24" s="76">
        <f t="shared" si="6"/>
        <v>1.9180995433789952E-3</v>
      </c>
      <c r="I24" s="76">
        <f t="shared" si="6"/>
        <v>1.6286341074681239E-3</v>
      </c>
      <c r="J24" s="76">
        <f t="shared" si="6"/>
        <v>2.4270677251126086E-3</v>
      </c>
      <c r="K24" s="76">
        <f t="shared" si="6"/>
        <v>2.2610652420539407E-3</v>
      </c>
      <c r="L24" s="76">
        <f t="shared" si="6"/>
        <v>2.019286625629712E-3</v>
      </c>
      <c r="M24" s="76">
        <f t="shared" si="6"/>
        <v>1.6700485499367872E-3</v>
      </c>
      <c r="N24" s="76">
        <f t="shared" si="6"/>
        <v>1.2786821773124047E-3</v>
      </c>
      <c r="O24" s="76">
        <f t="shared" si="6"/>
        <v>1.0527483659191039E-3</v>
      </c>
      <c r="P24" s="76">
        <f t="shared" si="6"/>
        <v>8.4656909078884707E-4</v>
      </c>
      <c r="Q24" s="76">
        <f t="shared" si="6"/>
        <v>1.0131999140344523E-3</v>
      </c>
      <c r="R24" s="76">
        <f t="shared" si="6"/>
        <v>1.3359797822772343E-3</v>
      </c>
      <c r="S24" s="76">
        <f t="shared" si="6"/>
        <v>1.6503873041666247E-3</v>
      </c>
      <c r="T24" s="76">
        <f t="shared" si="6"/>
        <v>2.0688369813849005E-3</v>
      </c>
      <c r="U24" s="76">
        <f t="shared" si="6"/>
        <v>2.3598828458676799E-3</v>
      </c>
      <c r="V24" s="76">
        <f t="shared" si="6"/>
        <v>1.6653128837070244E-3</v>
      </c>
      <c r="W24" s="80"/>
    </row>
    <row r="25" spans="1:23" x14ac:dyDescent="0.2">
      <c r="A25" s="45" t="s">
        <v>89</v>
      </c>
      <c r="B25" s="36" t="s">
        <v>65</v>
      </c>
      <c r="D25" s="59" t="s">
        <v>90</v>
      </c>
      <c r="E25" s="77" t="s">
        <v>65</v>
      </c>
      <c r="F25" s="59" t="s">
        <v>86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4">
        <f>SUM(J25:U25)/12</f>
        <v>0</v>
      </c>
      <c r="W25" s="75"/>
    </row>
    <row r="26" spans="1:23" ht="22.5" x14ac:dyDescent="0.2">
      <c r="A26" s="45" t="s">
        <v>91</v>
      </c>
      <c r="B26" s="36" t="s">
        <v>68</v>
      </c>
      <c r="D26" s="59" t="s">
        <v>92</v>
      </c>
      <c r="E26" s="77" t="s">
        <v>68</v>
      </c>
      <c r="F26" s="59" t="s">
        <v>86</v>
      </c>
      <c r="G26" s="78">
        <f>G17/8760*1000</f>
        <v>1.9463470319634702E-3</v>
      </c>
      <c r="H26" s="78">
        <f>H17/8760*1000</f>
        <v>1.9180995433789952E-3</v>
      </c>
      <c r="I26" s="78">
        <f>I17/8784*1000</f>
        <v>1.6286341074681239E-3</v>
      </c>
      <c r="J26" s="78">
        <f>J17/744*1000</f>
        <v>2.4270677251126086E-3</v>
      </c>
      <c r="K26" s="78">
        <f>K17/(24*28)*1000</f>
        <v>2.2610652420539407E-3</v>
      </c>
      <c r="L26" s="78">
        <f t="shared" ref="L26:U26" si="7">L17/744*1000</f>
        <v>2.019286625629712E-3</v>
      </c>
      <c r="M26" s="78">
        <f>M17/720*1000</f>
        <v>1.6700485499367872E-3</v>
      </c>
      <c r="N26" s="78">
        <f t="shared" si="7"/>
        <v>1.2786821773124047E-3</v>
      </c>
      <c r="O26" s="78">
        <f>O17/720*1000</f>
        <v>1.0527483659191039E-3</v>
      </c>
      <c r="P26" s="78">
        <f t="shared" si="7"/>
        <v>8.4656909078884707E-4</v>
      </c>
      <c r="Q26" s="78">
        <f t="shared" si="7"/>
        <v>1.0131999140344523E-3</v>
      </c>
      <c r="R26" s="78">
        <f>R17/720*1000</f>
        <v>1.3359797822772343E-3</v>
      </c>
      <c r="S26" s="78">
        <f t="shared" si="7"/>
        <v>1.6503873041666247E-3</v>
      </c>
      <c r="T26" s="78">
        <f>T17/720*1000</f>
        <v>2.0688369813849005E-3</v>
      </c>
      <c r="U26" s="78">
        <f t="shared" si="7"/>
        <v>2.3598828458676799E-3</v>
      </c>
      <c r="V26" s="74">
        <f>SUM(J26:U26)/12</f>
        <v>1.6653128837070244E-3</v>
      </c>
      <c r="W26" s="75"/>
    </row>
    <row r="27" spans="1:23" x14ac:dyDescent="0.2">
      <c r="A27" s="45" t="s">
        <v>93</v>
      </c>
      <c r="B27" s="36" t="s">
        <v>71</v>
      </c>
      <c r="D27" s="59" t="s">
        <v>94</v>
      </c>
      <c r="E27" s="72" t="s">
        <v>72</v>
      </c>
      <c r="F27" s="60" t="s">
        <v>73</v>
      </c>
      <c r="G27" s="76">
        <f t="shared" ref="G27:V27" si="8">IF(G23=0,0,G24/G23*100)</f>
        <v>5.179379689540994</v>
      </c>
      <c r="H27" s="76">
        <f t="shared" si="8"/>
        <v>5.1789819108512498</v>
      </c>
      <c r="I27" s="76">
        <f t="shared" si="8"/>
        <v>4.4103230311333261</v>
      </c>
      <c r="J27" s="76">
        <f t="shared" si="8"/>
        <v>5.0000000000000018</v>
      </c>
      <c r="K27" s="76">
        <f t="shared" si="8"/>
        <v>4.9999999999999991</v>
      </c>
      <c r="L27" s="76">
        <f t="shared" si="8"/>
        <v>5</v>
      </c>
      <c r="M27" s="76">
        <f t="shared" si="8"/>
        <v>5</v>
      </c>
      <c r="N27" s="76">
        <f t="shared" si="8"/>
        <v>4.9999999999999991</v>
      </c>
      <c r="O27" s="76">
        <f t="shared" si="8"/>
        <v>5</v>
      </c>
      <c r="P27" s="76">
        <f t="shared" si="8"/>
        <v>5.0000000000000009</v>
      </c>
      <c r="Q27" s="76">
        <f t="shared" si="8"/>
        <v>5</v>
      </c>
      <c r="R27" s="76">
        <f t="shared" si="8"/>
        <v>5</v>
      </c>
      <c r="S27" s="76">
        <f t="shared" si="8"/>
        <v>5</v>
      </c>
      <c r="T27" s="76">
        <f t="shared" si="8"/>
        <v>5</v>
      </c>
      <c r="U27" s="76">
        <f t="shared" si="8"/>
        <v>5</v>
      </c>
      <c r="V27" s="76">
        <f t="shared" si="8"/>
        <v>5</v>
      </c>
      <c r="W27" s="80"/>
    </row>
    <row r="28" spans="1:23" x14ac:dyDescent="0.2">
      <c r="A28" s="45" t="s">
        <v>95</v>
      </c>
      <c r="B28" s="36" t="s">
        <v>75</v>
      </c>
      <c r="D28" s="59" t="s">
        <v>96</v>
      </c>
      <c r="E28" s="72" t="s">
        <v>97</v>
      </c>
      <c r="F28" s="59" t="s">
        <v>86</v>
      </c>
      <c r="G28" s="76">
        <f t="shared" ref="G28:U28" si="9">G23-G24</f>
        <v>3.5632420091324203E-2</v>
      </c>
      <c r="H28" s="76">
        <f t="shared" si="9"/>
        <v>3.5118128356164381E-2</v>
      </c>
      <c r="I28" s="76">
        <f t="shared" si="9"/>
        <v>3.5299139571949002E-2</v>
      </c>
      <c r="J28" s="76">
        <f t="shared" si="9"/>
        <v>4.6114286777139551E-2</v>
      </c>
      <c r="K28" s="76">
        <f t="shared" si="9"/>
        <v>4.2960239599024883E-2</v>
      </c>
      <c r="L28" s="76">
        <f t="shared" si="9"/>
        <v>3.8366445886964536E-2</v>
      </c>
      <c r="M28" s="76">
        <f t="shared" si="9"/>
        <v>3.1730922448798958E-2</v>
      </c>
      <c r="N28" s="76">
        <f t="shared" si="9"/>
        <v>2.4294961368935695E-2</v>
      </c>
      <c r="O28" s="76">
        <f t="shared" si="9"/>
        <v>2.0002218952462975E-2</v>
      </c>
      <c r="P28" s="76">
        <f t="shared" si="9"/>
        <v>1.6084812724988091E-2</v>
      </c>
      <c r="Q28" s="76">
        <f t="shared" si="9"/>
        <v>1.9250798366654595E-2</v>
      </c>
      <c r="R28" s="76">
        <f t="shared" si="9"/>
        <v>2.5383615863267449E-2</v>
      </c>
      <c r="S28" s="76">
        <f t="shared" si="9"/>
        <v>3.1357358779165873E-2</v>
      </c>
      <c r="T28" s="76">
        <f t="shared" si="9"/>
        <v>3.9307902646313106E-2</v>
      </c>
      <c r="U28" s="76">
        <f t="shared" si="9"/>
        <v>4.4837774071485911E-2</v>
      </c>
      <c r="V28" s="74">
        <f>SUM(J28:U28)/12</f>
        <v>3.1640944790433473E-2</v>
      </c>
      <c r="W28" s="75"/>
    </row>
    <row r="29" spans="1:23" x14ac:dyDescent="0.2">
      <c r="A29" s="45" t="s">
        <v>98</v>
      </c>
      <c r="B29" s="36" t="s">
        <v>78</v>
      </c>
      <c r="D29" s="59" t="s">
        <v>99</v>
      </c>
      <c r="E29" s="77" t="s">
        <v>78</v>
      </c>
      <c r="F29" s="59" t="s">
        <v>86</v>
      </c>
      <c r="G29" s="78">
        <f>0</f>
        <v>0</v>
      </c>
      <c r="H29" s="78">
        <f>H20/8760*1000</f>
        <v>3.8201621004566207E-3</v>
      </c>
      <c r="I29" s="78">
        <f>I20/8784*1000</f>
        <v>3.8097244990892534E-3</v>
      </c>
      <c r="J29" s="78">
        <f>J20/744*1000</f>
        <v>0</v>
      </c>
      <c r="K29" s="78">
        <f>K20/(24*29)*1000</f>
        <v>0</v>
      </c>
      <c r="L29" s="78">
        <f>L20/744*1000</f>
        <v>0</v>
      </c>
      <c r="M29" s="78">
        <f>M20/720*1000</f>
        <v>0</v>
      </c>
      <c r="N29" s="78">
        <f>N20/744*1000</f>
        <v>0</v>
      </c>
      <c r="O29" s="78">
        <f>O20/720*1000</f>
        <v>0</v>
      </c>
      <c r="P29" s="78">
        <f>P20/744*1000</f>
        <v>0</v>
      </c>
      <c r="Q29" s="78">
        <f>Q20/744*1000</f>
        <v>0</v>
      </c>
      <c r="R29" s="78">
        <f>R20/720*1000</f>
        <v>0</v>
      </c>
      <c r="S29" s="78">
        <f>S20/744*1000</f>
        <v>0</v>
      </c>
      <c r="T29" s="78">
        <f>T20/720*1000</f>
        <v>0</v>
      </c>
      <c r="U29" s="78">
        <f>U20/744*1000</f>
        <v>0</v>
      </c>
      <c r="V29" s="74">
        <f>SUM(J29:U29)/12</f>
        <v>0</v>
      </c>
      <c r="W29" s="75"/>
    </row>
    <row r="30" spans="1:23" ht="22.5" x14ac:dyDescent="0.2">
      <c r="A30" s="45" t="s">
        <v>100</v>
      </c>
      <c r="B30" s="36" t="s">
        <v>81</v>
      </c>
      <c r="D30" s="59" t="s">
        <v>101</v>
      </c>
      <c r="E30" s="77" t="s">
        <v>81</v>
      </c>
      <c r="F30" s="59" t="s">
        <v>86</v>
      </c>
      <c r="G30" s="78">
        <f>G21/8760*1000</f>
        <v>3.5632420091324196E-2</v>
      </c>
      <c r="H30" s="78">
        <f>H21/8760*1000</f>
        <v>3.129068401826484E-2</v>
      </c>
      <c r="I30" s="78">
        <f>I21/8784*1000</f>
        <v>3.1489415072859739E-2</v>
      </c>
      <c r="J30" s="78">
        <f>J21/744*1000</f>
        <v>4.6114286777139545E-2</v>
      </c>
      <c r="K30" s="78">
        <f>K21/(24*29)*1000</f>
        <v>4.1478852026644718E-2</v>
      </c>
      <c r="L30" s="78">
        <f>L21/744*1000</f>
        <v>3.8366445886964529E-2</v>
      </c>
      <c r="M30" s="78">
        <f>M21/720*1000</f>
        <v>3.1730922448798958E-2</v>
      </c>
      <c r="N30" s="78">
        <f>N21/744*1000</f>
        <v>2.4294961368935691E-2</v>
      </c>
      <c r="O30" s="78">
        <f>O21/720*1000</f>
        <v>2.0002218952462972E-2</v>
      </c>
      <c r="P30" s="78">
        <f>P21/744*1000</f>
        <v>1.6084812724988091E-2</v>
      </c>
      <c r="Q30" s="78">
        <f>Q21/744*1000</f>
        <v>1.9250798366654592E-2</v>
      </c>
      <c r="R30" s="78">
        <f>R21/720*1000</f>
        <v>2.5383615863267452E-2</v>
      </c>
      <c r="S30" s="78">
        <f>S21/744*1000</f>
        <v>3.1357358779165866E-2</v>
      </c>
      <c r="T30" s="78">
        <f>T21/720*1000</f>
        <v>3.9307902646313106E-2</v>
      </c>
      <c r="U30" s="78">
        <f>U21/744*1000</f>
        <v>4.4837774071485911E-2</v>
      </c>
      <c r="V30" s="74">
        <f>SUM(J30:U30)/12</f>
        <v>3.1517495826068449E-2</v>
      </c>
      <c r="W30" s="75"/>
    </row>
    <row r="31" spans="1:23" x14ac:dyDescent="0.2">
      <c r="A31" s="45" t="s">
        <v>102</v>
      </c>
      <c r="B31" s="36" t="s">
        <v>103</v>
      </c>
      <c r="D31" s="59" t="s">
        <v>104</v>
      </c>
      <c r="E31" s="72" t="s">
        <v>105</v>
      </c>
      <c r="F31" s="60" t="s">
        <v>86</v>
      </c>
      <c r="G31" s="76">
        <f t="shared" ref="G31:V31" si="10">SUM(G32:G33)</f>
        <v>4.8899999999999999E-2</v>
      </c>
      <c r="H31" s="76">
        <f t="shared" si="10"/>
        <v>6.1877436666666667E-2</v>
      </c>
      <c r="I31" s="76">
        <f t="shared" si="10"/>
        <v>5.1999999999999998E-2</v>
      </c>
      <c r="J31" s="76">
        <f t="shared" si="10"/>
        <v>8.1150626620496102E-2</v>
      </c>
      <c r="K31" s="76">
        <f t="shared" si="10"/>
        <v>6.9443828226541229E-2</v>
      </c>
      <c r="L31" s="76">
        <f t="shared" si="10"/>
        <v>6.6056866973466077E-2</v>
      </c>
      <c r="M31" s="76">
        <f t="shared" si="10"/>
        <v>5.4283105010703256E-2</v>
      </c>
      <c r="N31" s="76">
        <f t="shared" si="10"/>
        <v>4.5195864753124836E-2</v>
      </c>
      <c r="O31" s="76">
        <f t="shared" si="10"/>
        <v>3.5325225073405304E-2</v>
      </c>
      <c r="P31" s="76">
        <f t="shared" si="10"/>
        <v>3.0065714613525835E-2</v>
      </c>
      <c r="Q31" s="76">
        <f t="shared" si="10"/>
        <v>3.5490878206309036E-2</v>
      </c>
      <c r="R31" s="76">
        <f t="shared" si="10"/>
        <v>4.3943746415345458E-2</v>
      </c>
      <c r="S31" s="76">
        <f t="shared" si="10"/>
        <v>5.2442216012502589E-2</v>
      </c>
      <c r="T31" s="76">
        <f t="shared" si="10"/>
        <v>6.8638812740250021E-2</v>
      </c>
      <c r="U31" s="76">
        <f t="shared" si="10"/>
        <v>7.9955853987370276E-2</v>
      </c>
      <c r="V31" s="76">
        <f t="shared" si="10"/>
        <v>5.5166061552753325E-2</v>
      </c>
      <c r="W31" s="80"/>
    </row>
    <row r="32" spans="1:23" x14ac:dyDescent="0.2">
      <c r="A32" s="45" t="s">
        <v>106</v>
      </c>
      <c r="B32" s="36" t="s">
        <v>65</v>
      </c>
      <c r="D32" s="59" t="s">
        <v>107</v>
      </c>
      <c r="E32" s="77" t="s">
        <v>65</v>
      </c>
      <c r="F32" s="60" t="s">
        <v>86</v>
      </c>
      <c r="G32" s="78">
        <v>0</v>
      </c>
      <c r="H32" s="78">
        <f>H20/6000*1000</f>
        <v>5.5774366666666662E-3</v>
      </c>
      <c r="I32" s="78">
        <v>0</v>
      </c>
      <c r="J32" s="78">
        <f>J20/500*1000</f>
        <v>0</v>
      </c>
      <c r="K32" s="78">
        <f t="shared" ref="K32:U32" si="11">K20/500*1000</f>
        <v>0</v>
      </c>
      <c r="L32" s="78">
        <f t="shared" si="11"/>
        <v>0</v>
      </c>
      <c r="M32" s="78">
        <f t="shared" si="11"/>
        <v>0</v>
      </c>
      <c r="N32" s="78">
        <f t="shared" si="11"/>
        <v>0</v>
      </c>
      <c r="O32" s="78">
        <f t="shared" si="11"/>
        <v>0</v>
      </c>
      <c r="P32" s="78">
        <f t="shared" si="11"/>
        <v>0</v>
      </c>
      <c r="Q32" s="78">
        <f t="shared" si="11"/>
        <v>0</v>
      </c>
      <c r="R32" s="78">
        <f t="shared" si="11"/>
        <v>0</v>
      </c>
      <c r="S32" s="78">
        <f t="shared" si="11"/>
        <v>0</v>
      </c>
      <c r="T32" s="78">
        <f t="shared" si="11"/>
        <v>0</v>
      </c>
      <c r="U32" s="78">
        <f t="shared" si="11"/>
        <v>0</v>
      </c>
      <c r="V32" s="74">
        <f>SUM(J32:U32)/12</f>
        <v>0</v>
      </c>
      <c r="W32" s="75"/>
    </row>
    <row r="33" spans="1:23" ht="12" customHeight="1" x14ac:dyDescent="0.2">
      <c r="A33" s="45" t="s">
        <v>108</v>
      </c>
      <c r="B33" s="36" t="s">
        <v>109</v>
      </c>
      <c r="D33" s="59" t="s">
        <v>110</v>
      </c>
      <c r="E33" s="85" t="str">
        <f>"сторонних потребителей (субабонентов)"&amp;IF(regionException_flag = 1, ", в т.ч.","")</f>
        <v>сторонних потребителей (субабонентов)</v>
      </c>
      <c r="F33" s="60" t="s">
        <v>86</v>
      </c>
      <c r="G33" s="76">
        <f>Субабоненты!H13</f>
        <v>4.8899999999999999E-2</v>
      </c>
      <c r="H33" s="76">
        <f>Субабоненты!I13</f>
        <v>5.6300000000000003E-2</v>
      </c>
      <c r="I33" s="76">
        <f>Субабоненты!J13</f>
        <v>5.1999999999999998E-2</v>
      </c>
      <c r="J33" s="76">
        <f>Субабоненты!K13</f>
        <v>8.1150626620496102E-2</v>
      </c>
      <c r="K33" s="76">
        <f>Субабоненты!L13</f>
        <v>6.9443828226541229E-2</v>
      </c>
      <c r="L33" s="76">
        <f>Субабоненты!M13</f>
        <v>6.6056866973466077E-2</v>
      </c>
      <c r="M33" s="76">
        <f>Субабоненты!N13</f>
        <v>5.4283105010703256E-2</v>
      </c>
      <c r="N33" s="76">
        <f>Субабоненты!O13</f>
        <v>4.5195864753124836E-2</v>
      </c>
      <c r="O33" s="76">
        <f>Субабоненты!P13</f>
        <v>3.5325225073405304E-2</v>
      </c>
      <c r="P33" s="76">
        <f>Субабоненты!Q13</f>
        <v>3.0065714613525835E-2</v>
      </c>
      <c r="Q33" s="76">
        <f>Субабоненты!R13</f>
        <v>3.5490878206309036E-2</v>
      </c>
      <c r="R33" s="76">
        <f>Субабоненты!S13</f>
        <v>4.3943746415345458E-2</v>
      </c>
      <c r="S33" s="76">
        <f>Субабоненты!T13</f>
        <v>5.2442216012502589E-2</v>
      </c>
      <c r="T33" s="76">
        <f>Субабоненты!U13</f>
        <v>6.8638812740250021E-2</v>
      </c>
      <c r="U33" s="76">
        <f>Субабоненты!V13</f>
        <v>7.9955853987370276E-2</v>
      </c>
      <c r="V33" s="76">
        <f>Субабоненты!W13</f>
        <v>5.5166061552753325E-2</v>
      </c>
      <c r="W33" s="80"/>
    </row>
    <row r="34" spans="1:23" ht="15" hidden="1" x14ac:dyDescent="0.2">
      <c r="A34" s="45"/>
      <c r="B34" s="36"/>
      <c r="D34" s="86"/>
      <c r="E34" s="87"/>
      <c r="F34" s="6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75"/>
      <c r="W34" s="75"/>
    </row>
    <row r="35" spans="1:23" s="48" customFormat="1" ht="15" hidden="1" x14ac:dyDescent="0.15">
      <c r="A35" s="45"/>
      <c r="B35" s="36"/>
      <c r="C35" s="46"/>
      <c r="D35" s="88" t="s">
        <v>111</v>
      </c>
      <c r="E35" s="64"/>
      <c r="F35" s="65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7"/>
      <c r="W35" s="67"/>
    </row>
    <row r="36" spans="1:23" s="48" customFormat="1" ht="15" hidden="1" x14ac:dyDescent="0.15">
      <c r="A36" s="45"/>
      <c r="B36" s="36"/>
      <c r="C36" s="46"/>
      <c r="D36" s="89"/>
      <c r="F36" s="47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</row>
    <row r="37" spans="1:23" s="48" customFormat="1" ht="15" hidden="1" x14ac:dyDescent="0.15">
      <c r="A37" s="45"/>
      <c r="B37" s="36"/>
      <c r="C37" s="46"/>
      <c r="D37" s="89"/>
      <c r="F37" s="47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</row>
    <row r="38" spans="1:23" ht="3" customHeight="1" x14ac:dyDescent="0.2">
      <c r="A38" s="45"/>
      <c r="B38" s="36"/>
      <c r="E38" s="91"/>
    </row>
    <row r="39" spans="1:23" ht="20.25" customHeight="1" x14ac:dyDescent="0.2">
      <c r="A39" s="45"/>
      <c r="B39" s="36"/>
      <c r="D39" s="128" t="s">
        <v>118</v>
      </c>
      <c r="E39" s="128"/>
      <c r="F39" s="128"/>
      <c r="G39" s="128"/>
      <c r="H39" s="92"/>
      <c r="I39" s="92"/>
      <c r="J39" s="92"/>
      <c r="M39" s="129" t="s">
        <v>121</v>
      </c>
      <c r="N39" s="129"/>
      <c r="O39" s="129"/>
      <c r="P39" s="129"/>
      <c r="Q39" s="48" t="s">
        <v>120</v>
      </c>
    </row>
    <row r="40" spans="1:23" x14ac:dyDescent="0.2">
      <c r="A40" s="45"/>
      <c r="B40" s="36"/>
      <c r="E40" s="93"/>
      <c r="F40" s="94"/>
    </row>
    <row r="41" spans="1:23" ht="19.5" customHeight="1" x14ac:dyDescent="0.2">
      <c r="A41" s="45"/>
      <c r="B41" s="36"/>
      <c r="D41" s="128" t="s">
        <v>112</v>
      </c>
      <c r="E41" s="128"/>
      <c r="F41" s="128"/>
      <c r="G41" s="128"/>
      <c r="H41" s="128"/>
      <c r="I41" s="128"/>
      <c r="J41" s="128"/>
      <c r="K41" s="128"/>
      <c r="M41" s="129"/>
      <c r="N41" s="129"/>
      <c r="O41" s="129"/>
      <c r="P41" s="129"/>
    </row>
    <row r="42" spans="1:23" x14ac:dyDescent="0.2">
      <c r="D42" s="126"/>
      <c r="E42" s="126"/>
      <c r="F42" s="126"/>
      <c r="G42" s="126"/>
      <c r="H42" s="96"/>
      <c r="I42" s="96"/>
      <c r="J42" s="96"/>
    </row>
    <row r="43" spans="1:23" x14ac:dyDescent="0.2">
      <c r="E43" s="97"/>
    </row>
  </sheetData>
  <mergeCells count="6">
    <mergeCell ref="D42:G42"/>
    <mergeCell ref="D8:J8"/>
    <mergeCell ref="D39:G39"/>
    <mergeCell ref="M39:P39"/>
    <mergeCell ref="D41:K41"/>
    <mergeCell ref="M41:P41"/>
  </mergeCells>
  <dataValidations count="1">
    <dataValidation type="decimal" allowBlank="1" showInputMessage="1" showErrorMessage="1" sqref="G12:W12 G14:W37" xr:uid="{A14DE98F-A1CD-4A6D-AB69-3DEA3AE966DA}">
      <formula1>0</formula1>
      <formula2>1000000000000000</formula2>
    </dataValidation>
  </dataValidations>
  <pageMargins left="0.11811023622047245" right="0" top="0" bottom="0" header="0" footer="0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757C5-13FB-421D-B3BA-380BD8675D10}">
  <sheetPr codeName="Лист3"/>
  <dimension ref="A1:M43"/>
  <sheetViews>
    <sheetView view="pageBreakPreview" topLeftCell="C8" zoomScale="115" zoomScaleNormal="100" zoomScaleSheetLayoutView="115" workbookViewId="0">
      <selection activeCell="E66" activeCellId="1" sqref="E33 E66"/>
    </sheetView>
  </sheetViews>
  <sheetFormatPr defaultColWidth="14.140625" defaultRowHeight="12" x14ac:dyDescent="0.2"/>
  <cols>
    <col min="1" max="1" width="14.140625" style="95" hidden="1" customWidth="1"/>
    <col min="2" max="2" width="14.140625" style="39" hidden="1" customWidth="1"/>
    <col min="3" max="3" width="3.7109375" style="46" customWidth="1"/>
    <col min="4" max="4" width="7.140625" style="47" customWidth="1"/>
    <col min="5" max="5" width="41.85546875" style="48" customWidth="1"/>
    <col min="6" max="6" width="9.85546875" style="48" customWidth="1"/>
    <col min="7" max="10" width="10.7109375" style="48" customWidth="1"/>
    <col min="11" max="11" width="14.140625" style="48"/>
    <col min="12" max="16384" width="14.140625" style="79"/>
  </cols>
  <sheetData>
    <row r="1" spans="1:11" s="39" customFormat="1" ht="18.75" hidden="1" customHeight="1" x14ac:dyDescent="0.2">
      <c r="A1" s="32"/>
      <c r="B1" s="33">
        <v>0</v>
      </c>
      <c r="C1" s="34">
        <v>0</v>
      </c>
      <c r="D1" s="34">
        <v>0</v>
      </c>
      <c r="E1" s="35">
        <f>2025</f>
        <v>2025</v>
      </c>
      <c r="F1" s="36"/>
      <c r="G1" s="37" t="s">
        <v>35</v>
      </c>
      <c r="H1" s="38" t="s">
        <v>35</v>
      </c>
      <c r="I1" s="38" t="s">
        <v>35</v>
      </c>
      <c r="J1" s="38" t="s">
        <v>36</v>
      </c>
      <c r="K1" s="36"/>
    </row>
    <row r="2" spans="1:11" s="41" customFormat="1" ht="18.75" hidden="1" customHeight="1" x14ac:dyDescent="0.15">
      <c r="A2" s="40"/>
      <c r="D2" s="42"/>
      <c r="G2" s="43">
        <f>$E$1-2</f>
        <v>2023</v>
      </c>
      <c r="H2" s="43">
        <f>$E$1-2</f>
        <v>2023</v>
      </c>
      <c r="I2" s="43">
        <f>$E$1-1</f>
        <v>2024</v>
      </c>
      <c r="J2" s="43">
        <f>$E$1</f>
        <v>2025</v>
      </c>
    </row>
    <row r="3" spans="1:11" s="38" customFormat="1" ht="18.75" hidden="1" customHeight="1" x14ac:dyDescent="0.15">
      <c r="D3" s="44"/>
      <c r="G3" s="38" t="s">
        <v>48</v>
      </c>
      <c r="H3" s="38" t="s">
        <v>49</v>
      </c>
      <c r="I3" s="38" t="s">
        <v>48</v>
      </c>
      <c r="J3" s="38" t="s">
        <v>48</v>
      </c>
    </row>
    <row r="4" spans="1:11" s="48" customFormat="1" ht="18.75" hidden="1" customHeight="1" x14ac:dyDescent="0.15">
      <c r="A4" s="45"/>
      <c r="B4" s="36"/>
      <c r="C4" s="46"/>
      <c r="D4" s="47"/>
    </row>
    <row r="5" spans="1:11" s="48" customFormat="1" ht="18.75" hidden="1" customHeight="1" x14ac:dyDescent="0.15">
      <c r="A5" s="45"/>
      <c r="B5" s="36"/>
      <c r="C5" s="46"/>
      <c r="D5" s="47"/>
    </row>
    <row r="6" spans="1:11" s="48" customFormat="1" ht="18.75" hidden="1" customHeight="1" x14ac:dyDescent="0.15">
      <c r="A6" s="45"/>
      <c r="B6" s="36"/>
      <c r="C6" s="46"/>
      <c r="D6" s="47"/>
    </row>
    <row r="7" spans="1:11" s="53" customFormat="1" ht="0.75" hidden="1" customHeight="1" x14ac:dyDescent="0.15">
      <c r="A7" s="49"/>
      <c r="B7" s="50"/>
      <c r="C7" s="51"/>
      <c r="D7" s="52"/>
    </row>
    <row r="8" spans="1:11" s="48" customFormat="1" ht="41.25" customHeight="1" x14ac:dyDescent="0.15">
      <c r="A8" s="45"/>
      <c r="B8" s="36"/>
      <c r="C8" s="55"/>
      <c r="D8" s="127" t="str">
        <f>"Предложения " &amp; org &amp; " по технологическому расходу электроэнергии (мощности) - потерям в электрических сетях на "&amp; 2025 &amp;" год в субъекте РФ: "&amp;region_name &amp; " (поквартально)"</f>
        <v>Предложения АО "Салехардэнерго" по технологическому расходу электроэнергии (мощности) - потерям в электрических сетях на 2025 год в субъекте РФ: Ямало-Ненецкий автономный округ (поквартально)</v>
      </c>
      <c r="E8" s="127"/>
      <c r="F8" s="127"/>
      <c r="G8" s="127"/>
      <c r="H8" s="127"/>
      <c r="I8" s="127"/>
      <c r="J8" s="127"/>
      <c r="K8" s="57"/>
    </row>
    <row r="9" spans="1:11" s="48" customFormat="1" ht="3" customHeight="1" x14ac:dyDescent="0.15">
      <c r="A9" s="45"/>
      <c r="B9" s="36"/>
      <c r="C9" s="46"/>
      <c r="D9" s="58"/>
      <c r="E9" s="58"/>
      <c r="F9" s="58"/>
      <c r="G9" s="58"/>
      <c r="H9" s="58"/>
      <c r="I9" s="58"/>
      <c r="J9" s="58"/>
    </row>
    <row r="10" spans="1:11" s="48" customFormat="1" ht="52.5" customHeight="1" x14ac:dyDescent="0.15">
      <c r="A10" s="45"/>
      <c r="B10" s="36"/>
      <c r="C10" s="46"/>
      <c r="D10" s="59" t="s">
        <v>51</v>
      </c>
      <c r="E10" s="59" t="s">
        <v>52</v>
      </c>
      <c r="F10" s="60" t="s">
        <v>53</v>
      </c>
      <c r="G10" s="61" t="str">
        <f>"I квартал " &amp; 2025</f>
        <v>I квартал 2025</v>
      </c>
      <c r="H10" s="61" t="str">
        <f>"II квартал " &amp; 2025</f>
        <v>II квартал 2025</v>
      </c>
      <c r="I10" s="61" t="str">
        <f>"III квартал " &amp; 2025</f>
        <v>III квартал 2025</v>
      </c>
      <c r="J10" s="61" t="str">
        <f>"IV квартал " &amp; 2025</f>
        <v>IV квартал 2025</v>
      </c>
    </row>
    <row r="11" spans="1:11" s="48" customFormat="1" ht="11.25" x14ac:dyDescent="0.15">
      <c r="A11" s="45"/>
      <c r="B11" s="36"/>
      <c r="C11" s="46"/>
      <c r="D11" s="62">
        <v>1</v>
      </c>
      <c r="E11" s="62">
        <v>2</v>
      </c>
      <c r="F11" s="62">
        <v>3</v>
      </c>
      <c r="G11" s="62">
        <v>4</v>
      </c>
      <c r="H11" s="62">
        <v>5</v>
      </c>
      <c r="I11" s="62">
        <v>6</v>
      </c>
      <c r="J11" s="62">
        <v>7</v>
      </c>
    </row>
    <row r="12" spans="1:11" s="48" customFormat="1" ht="11.25" x14ac:dyDescent="0.15">
      <c r="A12" s="45"/>
      <c r="B12" s="36"/>
      <c r="C12" s="46"/>
      <c r="D12" s="63" t="s">
        <v>55</v>
      </c>
      <c r="E12" s="64"/>
      <c r="F12" s="65"/>
      <c r="G12" s="66"/>
      <c r="H12" s="66"/>
      <c r="I12" s="66"/>
      <c r="J12" s="66"/>
    </row>
    <row r="13" spans="1:11" s="48" customFormat="1" ht="11.25" x14ac:dyDescent="0.15">
      <c r="A13" s="45"/>
      <c r="B13" s="36"/>
      <c r="C13" s="46"/>
      <c r="D13" s="68"/>
      <c r="E13" s="69" t="s">
        <v>56</v>
      </c>
      <c r="F13" s="70"/>
      <c r="G13" s="71"/>
      <c r="H13" s="71"/>
      <c r="I13" s="71"/>
      <c r="J13" s="71"/>
    </row>
    <row r="14" spans="1:11" s="48" customFormat="1" ht="11.25" x14ac:dyDescent="0.15">
      <c r="A14" s="45" t="s">
        <v>57</v>
      </c>
      <c r="B14" s="36" t="s">
        <v>58</v>
      </c>
      <c r="C14" s="46"/>
      <c r="D14" s="59">
        <v>1</v>
      </c>
      <c r="E14" s="72" t="s">
        <v>59</v>
      </c>
      <c r="F14" s="59" t="s">
        <v>60</v>
      </c>
      <c r="G14" s="74">
        <f>SUM('Форма 3.1'!J14:L14)</f>
        <v>9.6550469592250693E-2</v>
      </c>
      <c r="H14" s="74">
        <f>SUM('Форма 3.1'!M14:O14)</f>
        <v>5.8235066386733418E-2</v>
      </c>
      <c r="I14" s="74">
        <f>SUM('Форма 3.1'!P14:R14)</f>
        <v>4.6911471656562863E-2</v>
      </c>
      <c r="J14" s="74">
        <f>SUM('Форма 3.1'!S14:U14)</f>
        <v>8.9464072364453029E-2</v>
      </c>
    </row>
    <row r="15" spans="1:11" s="48" customFormat="1" ht="22.5" x14ac:dyDescent="0.15">
      <c r="A15" s="45" t="s">
        <v>61</v>
      </c>
      <c r="B15" s="36" t="s">
        <v>62</v>
      </c>
      <c r="C15" s="46"/>
      <c r="D15" s="59">
        <v>2</v>
      </c>
      <c r="E15" s="72" t="s">
        <v>63</v>
      </c>
      <c r="F15" s="59" t="s">
        <v>60</v>
      </c>
      <c r="G15" s="74">
        <f>SUM('Форма 3.1'!J15:L15)</f>
        <v>4.8275234796125348E-3</v>
      </c>
      <c r="H15" s="74">
        <f>SUM('Форма 3.1'!M15:O15)</f>
        <v>2.9117533193366708E-3</v>
      </c>
      <c r="I15" s="74">
        <f>SUM('Форма 3.1'!P15:R15)</f>
        <v>2.3455735828281431E-3</v>
      </c>
      <c r="J15" s="74">
        <f>SUM('Форма 3.1'!S15:U15)</f>
        <v>4.4732036182226504E-3</v>
      </c>
    </row>
    <row r="16" spans="1:11" s="48" customFormat="1" ht="11.25" x14ac:dyDescent="0.15">
      <c r="A16" s="45" t="s">
        <v>64</v>
      </c>
      <c r="B16" s="36" t="s">
        <v>65</v>
      </c>
      <c r="C16" s="46"/>
      <c r="D16" s="59" t="s">
        <v>66</v>
      </c>
      <c r="E16" s="77" t="s">
        <v>65</v>
      </c>
      <c r="F16" s="59" t="s">
        <v>60</v>
      </c>
      <c r="G16" s="74">
        <f>SUM('Форма 3.1'!J16:L16)</f>
        <v>0</v>
      </c>
      <c r="H16" s="74">
        <f>SUM('Форма 3.1'!M16:O16)</f>
        <v>0</v>
      </c>
      <c r="I16" s="74">
        <f>SUM('Форма 3.1'!P16:R16)</f>
        <v>0</v>
      </c>
      <c r="J16" s="74">
        <f>SUM('Форма 3.1'!S16:U16)</f>
        <v>0</v>
      </c>
    </row>
    <row r="17" spans="1:10" ht="22.5" x14ac:dyDescent="0.2">
      <c r="A17" s="45" t="s">
        <v>67</v>
      </c>
      <c r="B17" s="36" t="s">
        <v>68</v>
      </c>
      <c r="D17" s="59" t="s">
        <v>69</v>
      </c>
      <c r="E17" s="77" t="s">
        <v>68</v>
      </c>
      <c r="F17" s="59" t="s">
        <v>60</v>
      </c>
      <c r="G17" s="74">
        <f>SUM('Форма 3.1'!J17:L17)</f>
        <v>4.8275234796125348E-3</v>
      </c>
      <c r="H17" s="74">
        <f>SUM('Форма 3.1'!M17:O17)</f>
        <v>2.9117533193366708E-3</v>
      </c>
      <c r="I17" s="74">
        <f>SUM('Форма 3.1'!P17:R17)</f>
        <v>2.3455735828281431E-3</v>
      </c>
      <c r="J17" s="74">
        <f>SUM('Форма 3.1'!S17:U17)</f>
        <v>4.4732036182226504E-3</v>
      </c>
    </row>
    <row r="18" spans="1:10" x14ac:dyDescent="0.2">
      <c r="A18" s="45" t="s">
        <v>70</v>
      </c>
      <c r="B18" s="36" t="s">
        <v>71</v>
      </c>
      <c r="D18" s="59">
        <v>3</v>
      </c>
      <c r="E18" s="72" t="s">
        <v>72</v>
      </c>
      <c r="F18" s="60" t="s">
        <v>73</v>
      </c>
      <c r="G18" s="76">
        <f>IF(G14=0,0,G15/G14*100)</f>
        <v>5</v>
      </c>
      <c r="H18" s="76">
        <f>IF(H14=0,0,H15/H14*100)</f>
        <v>5</v>
      </c>
      <c r="I18" s="76">
        <f>IF(I14=0,0,I15/I14*100)</f>
        <v>5</v>
      </c>
      <c r="J18" s="76">
        <f>IF(J14=0,0,J15/J14*100)</f>
        <v>4.9999999999999991</v>
      </c>
    </row>
    <row r="19" spans="1:10" x14ac:dyDescent="0.2">
      <c r="A19" s="45" t="s">
        <v>74</v>
      </c>
      <c r="B19" s="36" t="s">
        <v>75</v>
      </c>
      <c r="D19" s="59">
        <v>4</v>
      </c>
      <c r="E19" s="72" t="s">
        <v>76</v>
      </c>
      <c r="F19" s="59" t="s">
        <v>60</v>
      </c>
      <c r="G19" s="74">
        <f>SUM('Форма 3.1'!J19:L19)</f>
        <v>9.1722946112638162E-2</v>
      </c>
      <c r="H19" s="74">
        <f>SUM('Форма 3.1'!M19:O19)</f>
        <v>5.532331306739674E-2</v>
      </c>
      <c r="I19" s="74">
        <f>SUM('Форма 3.1'!P19:R19)</f>
        <v>4.4565898073734719E-2</v>
      </c>
      <c r="J19" s="74">
        <f>SUM('Форма 3.1'!S19:U19)</f>
        <v>8.4990868746230366E-2</v>
      </c>
    </row>
    <row r="20" spans="1:10" x14ac:dyDescent="0.2">
      <c r="A20" s="45" t="s">
        <v>77</v>
      </c>
      <c r="B20" s="36" t="s">
        <v>78</v>
      </c>
      <c r="D20" s="59" t="s">
        <v>79</v>
      </c>
      <c r="E20" s="77" t="s">
        <v>78</v>
      </c>
      <c r="F20" s="59" t="s">
        <v>60</v>
      </c>
      <c r="G20" s="74">
        <f>SUM('Форма 3.1'!J20:L20)</f>
        <v>0</v>
      </c>
      <c r="H20" s="74">
        <f>SUM('Форма 3.1'!M20:O20)</f>
        <v>0</v>
      </c>
      <c r="I20" s="74">
        <f>SUM('Форма 3.1'!P20:R20)</f>
        <v>0</v>
      </c>
      <c r="J20" s="74">
        <f>SUM('Форма 3.1'!S20:U20)</f>
        <v>0</v>
      </c>
    </row>
    <row r="21" spans="1:10" ht="22.5" x14ac:dyDescent="0.2">
      <c r="A21" s="45" t="s">
        <v>80</v>
      </c>
      <c r="B21" s="36" t="s">
        <v>81</v>
      </c>
      <c r="D21" s="59" t="s">
        <v>82</v>
      </c>
      <c r="E21" s="77" t="s">
        <v>81</v>
      </c>
      <c r="F21" s="59" t="s">
        <v>60</v>
      </c>
      <c r="G21" s="74">
        <f>SUM('Форма 3.1'!J21:L21)</f>
        <v>9.1722946112638162E-2</v>
      </c>
      <c r="H21" s="74">
        <f>SUM('Форма 3.1'!M21:O21)</f>
        <v>5.532331306739674E-2</v>
      </c>
      <c r="I21" s="74">
        <f>SUM('Форма 3.1'!P21:R21)</f>
        <v>4.4565898073734719E-2</v>
      </c>
      <c r="J21" s="74">
        <f>SUM('Форма 3.1'!S21:U21)</f>
        <v>8.4990868746230352E-2</v>
      </c>
    </row>
    <row r="22" spans="1:10" x14ac:dyDescent="0.2">
      <c r="A22" s="45"/>
      <c r="B22" s="36"/>
      <c r="D22" s="81"/>
      <c r="E22" s="82" t="s">
        <v>83</v>
      </c>
      <c r="F22" s="83"/>
      <c r="G22" s="84"/>
      <c r="H22" s="84"/>
      <c r="I22" s="84"/>
      <c r="J22" s="84"/>
    </row>
    <row r="23" spans="1:10" x14ac:dyDescent="0.2">
      <c r="A23" s="45" t="s">
        <v>84</v>
      </c>
      <c r="B23" s="36" t="s">
        <v>58</v>
      </c>
      <c r="D23" s="59" t="s">
        <v>85</v>
      </c>
      <c r="E23" s="72" t="s">
        <v>59</v>
      </c>
      <c r="F23" s="59" t="s">
        <v>86</v>
      </c>
      <c r="G23" s="74">
        <f>SUM('Форма 3.1'!J23:L23)/3</f>
        <v>4.4716130618641742E-2</v>
      </c>
      <c r="H23" s="74">
        <f>SUM('Форма 3.1'!M23:O23)/3</f>
        <v>2.6676527287788642E-2</v>
      </c>
      <c r="I23" s="74">
        <f>SUM('Форма 3.1'!P23:R23)/3</f>
        <v>2.1304991914003559E-2</v>
      </c>
      <c r="J23" s="74">
        <f>SUM('Форма 3.1'!S23:U23)/3</f>
        <v>4.0527380876128033E-2</v>
      </c>
    </row>
    <row r="24" spans="1:10" ht="22.5" x14ac:dyDescent="0.2">
      <c r="A24" s="45" t="s">
        <v>87</v>
      </c>
      <c r="B24" s="36" t="s">
        <v>62</v>
      </c>
      <c r="D24" s="59" t="s">
        <v>88</v>
      </c>
      <c r="E24" s="72" t="s">
        <v>63</v>
      </c>
      <c r="F24" s="59" t="s">
        <v>86</v>
      </c>
      <c r="G24" s="74">
        <f>SUM('Форма 3.1'!J24:L24)/3</f>
        <v>2.2358065309320868E-3</v>
      </c>
      <c r="H24" s="74">
        <f>SUM('Форма 3.1'!M24:O24)/3</f>
        <v>1.3338263643894318E-3</v>
      </c>
      <c r="I24" s="74">
        <f>SUM('Форма 3.1'!P24:R24)/3</f>
        <v>1.0652495957001779E-3</v>
      </c>
      <c r="J24" s="74">
        <f>SUM('Форма 3.1'!S24:U24)/3</f>
        <v>2.0263690438064017E-3</v>
      </c>
    </row>
    <row r="25" spans="1:10" x14ac:dyDescent="0.2">
      <c r="A25" s="45" t="s">
        <v>89</v>
      </c>
      <c r="B25" s="36" t="s">
        <v>65</v>
      </c>
      <c r="D25" s="59" t="s">
        <v>90</v>
      </c>
      <c r="E25" s="77" t="s">
        <v>65</v>
      </c>
      <c r="F25" s="59" t="s">
        <v>86</v>
      </c>
      <c r="G25" s="74">
        <f>SUM('Форма 3.1'!J25:L25)/3</f>
        <v>0</v>
      </c>
      <c r="H25" s="74">
        <f>SUM('Форма 3.1'!M25:O25)/3</f>
        <v>0</v>
      </c>
      <c r="I25" s="74">
        <f>SUM('Форма 3.1'!P25:R25)/3</f>
        <v>0</v>
      </c>
      <c r="J25" s="74">
        <f>SUM('Форма 3.1'!S25:U25)/3</f>
        <v>0</v>
      </c>
    </row>
    <row r="26" spans="1:10" ht="22.5" x14ac:dyDescent="0.2">
      <c r="A26" s="45" t="s">
        <v>91</v>
      </c>
      <c r="B26" s="36" t="s">
        <v>68</v>
      </c>
      <c r="D26" s="59" t="s">
        <v>92</v>
      </c>
      <c r="E26" s="77" t="s">
        <v>68</v>
      </c>
      <c r="F26" s="59" t="s">
        <v>86</v>
      </c>
      <c r="G26" s="74">
        <f>SUM('Форма 3.1'!J26:L26)/3</f>
        <v>2.2358065309320868E-3</v>
      </c>
      <c r="H26" s="74">
        <f>SUM('Форма 3.1'!M26:O26)/3</f>
        <v>1.3338263643894318E-3</v>
      </c>
      <c r="I26" s="74">
        <f>SUM('Форма 3.1'!P26:R26)/3</f>
        <v>1.0652495957001779E-3</v>
      </c>
      <c r="J26" s="74">
        <f>SUM('Форма 3.1'!S26:U26)/3</f>
        <v>2.0263690438064017E-3</v>
      </c>
    </row>
    <row r="27" spans="1:10" x14ac:dyDescent="0.2">
      <c r="A27" s="45" t="s">
        <v>93</v>
      </c>
      <c r="B27" s="36" t="s">
        <v>71</v>
      </c>
      <c r="D27" s="59" t="s">
        <v>94</v>
      </c>
      <c r="E27" s="72" t="s">
        <v>72</v>
      </c>
      <c r="F27" s="60" t="s">
        <v>73</v>
      </c>
      <c r="G27" s="76">
        <f>IF(G23=0,0,G24/G23*100)</f>
        <v>5</v>
      </c>
      <c r="H27" s="76">
        <f>IF(H23=0,0,H24/H23*100)</f>
        <v>4.9999999999999991</v>
      </c>
      <c r="I27" s="76">
        <f>IF(I23=0,0,I24/I23*100)</f>
        <v>5</v>
      </c>
      <c r="J27" s="76">
        <f>IF(J23=0,0,J24/J23*100)</f>
        <v>5</v>
      </c>
    </row>
    <row r="28" spans="1:10" x14ac:dyDescent="0.2">
      <c r="A28" s="45" t="s">
        <v>95</v>
      </c>
      <c r="B28" s="36" t="s">
        <v>75</v>
      </c>
      <c r="D28" s="59" t="s">
        <v>96</v>
      </c>
      <c r="E28" s="72" t="s">
        <v>97</v>
      </c>
      <c r="F28" s="59" t="s">
        <v>86</v>
      </c>
      <c r="G28" s="74">
        <f>SUM('Форма 3.1'!J28:L28)/3</f>
        <v>4.2480324087709659E-2</v>
      </c>
      <c r="H28" s="74">
        <f>SUM('Форма 3.1'!M28:O28)/3</f>
        <v>2.5342700923399211E-2</v>
      </c>
      <c r="I28" s="74">
        <f>SUM('Форма 3.1'!P28:R28)/3</f>
        <v>2.0239742318303378E-2</v>
      </c>
      <c r="J28" s="74">
        <f>SUM('Форма 3.1'!S28:U28)/3</f>
        <v>3.850101183232163E-2</v>
      </c>
    </row>
    <row r="29" spans="1:10" x14ac:dyDescent="0.2">
      <c r="A29" s="45" t="s">
        <v>98</v>
      </c>
      <c r="B29" s="36" t="s">
        <v>78</v>
      </c>
      <c r="D29" s="59" t="s">
        <v>99</v>
      </c>
      <c r="E29" s="77" t="s">
        <v>78</v>
      </c>
      <c r="F29" s="59" t="s">
        <v>86</v>
      </c>
      <c r="G29" s="74">
        <f>SUM('Форма 3.1'!J29:L29)/3</f>
        <v>0</v>
      </c>
      <c r="H29" s="74">
        <f>SUM('Форма 3.1'!M29:O29)/3</f>
        <v>0</v>
      </c>
      <c r="I29" s="74">
        <f>SUM('Форма 3.1'!P29:R29)/3</f>
        <v>0</v>
      </c>
      <c r="J29" s="74">
        <f>SUM('Форма 3.1'!S29:U29)/3</f>
        <v>0</v>
      </c>
    </row>
    <row r="30" spans="1:10" ht="22.5" x14ac:dyDescent="0.2">
      <c r="A30" s="45" t="s">
        <v>100</v>
      </c>
      <c r="B30" s="36" t="s">
        <v>81</v>
      </c>
      <c r="D30" s="59" t="s">
        <v>101</v>
      </c>
      <c r="E30" s="77" t="s">
        <v>81</v>
      </c>
      <c r="F30" s="59" t="s">
        <v>86</v>
      </c>
      <c r="G30" s="74">
        <f>SUM('Форма 3.1'!J30:L30)/3</f>
        <v>4.1986528230249599E-2</v>
      </c>
      <c r="H30" s="74">
        <f>SUM('Форма 3.1'!M30:O30)/3</f>
        <v>2.5342700923399204E-2</v>
      </c>
      <c r="I30" s="74">
        <f>SUM('Форма 3.1'!P30:R30)/3</f>
        <v>2.0239742318303378E-2</v>
      </c>
      <c r="J30" s="74">
        <f>SUM('Форма 3.1'!S30:U30)/3</f>
        <v>3.8501011832321623E-2</v>
      </c>
    </row>
    <row r="31" spans="1:10" x14ac:dyDescent="0.2">
      <c r="A31" s="45" t="s">
        <v>102</v>
      </c>
      <c r="B31" s="36" t="s">
        <v>103</v>
      </c>
      <c r="D31" s="59" t="s">
        <v>104</v>
      </c>
      <c r="E31" s="72" t="s">
        <v>105</v>
      </c>
      <c r="F31" s="60" t="s">
        <v>86</v>
      </c>
      <c r="G31" s="74">
        <f>SUM('Форма 3.1'!J31:L31)/3</f>
        <v>7.2217107273501127E-2</v>
      </c>
      <c r="H31" s="74">
        <f>SUM('Форма 3.1'!M31:O31)/3</f>
        <v>4.4934731612411127E-2</v>
      </c>
      <c r="I31" s="74">
        <f>SUM('Форма 3.1'!P31:R31)/3</f>
        <v>3.6500113078393438E-2</v>
      </c>
      <c r="J31" s="74">
        <f>SUM('Форма 3.1'!S31:U31)/3</f>
        <v>6.7012294246707627E-2</v>
      </c>
    </row>
    <row r="32" spans="1:10" x14ac:dyDescent="0.2">
      <c r="A32" s="45" t="s">
        <v>106</v>
      </c>
      <c r="B32" s="36" t="s">
        <v>65</v>
      </c>
      <c r="D32" s="59" t="s">
        <v>107</v>
      </c>
      <c r="E32" s="77" t="s">
        <v>65</v>
      </c>
      <c r="F32" s="60" t="s">
        <v>86</v>
      </c>
      <c r="G32" s="74">
        <f>SUM('Форма 3.1'!J32:L32)/3</f>
        <v>0</v>
      </c>
      <c r="H32" s="74">
        <f>SUM('Форма 3.1'!M32:O32)/3</f>
        <v>0</v>
      </c>
      <c r="I32" s="74">
        <f>SUM('Форма 3.1'!P32:R32)/3</f>
        <v>0</v>
      </c>
      <c r="J32" s="74">
        <f>SUM('Форма 3.1'!S32:U32)/3</f>
        <v>0</v>
      </c>
    </row>
    <row r="33" spans="1:13" ht="22.5" customHeight="1" x14ac:dyDescent="0.2">
      <c r="A33" s="45" t="s">
        <v>108</v>
      </c>
      <c r="B33" s="36" t="s">
        <v>109</v>
      </c>
      <c r="D33" s="59" t="s">
        <v>110</v>
      </c>
      <c r="E33" s="85" t="str">
        <f>"сторонних потребителей (субабонентов)"&amp;IF(regionException_flag = 1, ", в т.ч.","")</f>
        <v>сторонних потребителей (субабонентов)</v>
      </c>
      <c r="F33" s="60" t="s">
        <v>86</v>
      </c>
      <c r="G33" s="74">
        <f>SUM('Форма 3.1'!J33:L33)/3</f>
        <v>7.2217107273501127E-2</v>
      </c>
      <c r="H33" s="74">
        <f>SUM('Форма 3.1'!M33:O33)/3</f>
        <v>4.4934731612411127E-2</v>
      </c>
      <c r="I33" s="74">
        <f>SUM('Форма 3.1'!P33:R33)/3</f>
        <v>3.6500113078393438E-2</v>
      </c>
      <c r="J33" s="74">
        <f>SUM('Форма 3.1'!S33:U33)/3</f>
        <v>6.7012294246707627E-2</v>
      </c>
    </row>
    <row r="34" spans="1:13" ht="15" hidden="1" x14ac:dyDescent="0.2">
      <c r="A34" s="45"/>
      <c r="B34" s="36"/>
      <c r="D34" s="86"/>
      <c r="E34" s="87"/>
      <c r="F34" s="60"/>
      <c r="G34" s="75"/>
      <c r="H34" s="75"/>
      <c r="I34" s="75"/>
      <c r="J34" s="75"/>
    </row>
    <row r="35" spans="1:13" s="48" customFormat="1" ht="15" hidden="1" x14ac:dyDescent="0.15">
      <c r="A35" s="45"/>
      <c r="B35" s="36"/>
      <c r="C35" s="46"/>
      <c r="D35" s="88" t="s">
        <v>111</v>
      </c>
      <c r="E35" s="64"/>
      <c r="F35" s="65"/>
      <c r="G35" s="66"/>
      <c r="H35" s="66"/>
      <c r="I35" s="66"/>
      <c r="J35" s="66"/>
    </row>
    <row r="36" spans="1:13" ht="12" hidden="1" customHeight="1" x14ac:dyDescent="0.2">
      <c r="A36" s="45"/>
      <c r="B36" s="36"/>
    </row>
    <row r="37" spans="1:13" ht="12" hidden="1" customHeight="1" x14ac:dyDescent="0.2">
      <c r="A37" s="45"/>
      <c r="B37" s="36"/>
    </row>
    <row r="38" spans="1:13" ht="3" customHeight="1" x14ac:dyDescent="0.2">
      <c r="A38" s="45"/>
      <c r="B38" s="36"/>
    </row>
    <row r="39" spans="1:13" ht="20.25" customHeight="1" x14ac:dyDescent="0.2">
      <c r="A39" s="45"/>
      <c r="B39" s="36"/>
      <c r="D39" s="128" t="s">
        <v>118</v>
      </c>
      <c r="E39" s="128"/>
      <c r="F39" s="128"/>
      <c r="G39" s="129" t="s">
        <v>119</v>
      </c>
      <c r="H39" s="129"/>
      <c r="I39" s="129"/>
      <c r="J39" s="129"/>
      <c r="M39" s="79" t="s">
        <v>121</v>
      </c>
    </row>
    <row r="40" spans="1:13" x14ac:dyDescent="0.2">
      <c r="A40" s="45"/>
      <c r="B40" s="36"/>
      <c r="E40" s="93"/>
      <c r="F40" s="94"/>
    </row>
    <row r="41" spans="1:13" ht="22.5" customHeight="1" x14ac:dyDescent="0.2">
      <c r="A41" s="45"/>
      <c r="B41" s="36"/>
      <c r="D41" s="128" t="s">
        <v>112</v>
      </c>
      <c r="E41" s="128"/>
      <c r="F41" s="128"/>
      <c r="G41" s="129"/>
      <c r="H41" s="129"/>
      <c r="I41" s="129"/>
      <c r="J41" s="129"/>
    </row>
    <row r="42" spans="1:13" x14ac:dyDescent="0.2">
      <c r="D42" s="126"/>
      <c r="E42" s="126"/>
      <c r="F42" s="126"/>
      <c r="G42" s="126"/>
      <c r="H42" s="96"/>
      <c r="I42" s="96"/>
      <c r="J42" s="96"/>
    </row>
    <row r="43" spans="1:13" x14ac:dyDescent="0.2">
      <c r="E43" s="97"/>
    </row>
  </sheetData>
  <mergeCells count="6">
    <mergeCell ref="D42:G42"/>
    <mergeCell ref="D8:J8"/>
    <mergeCell ref="D39:F39"/>
    <mergeCell ref="G39:J39"/>
    <mergeCell ref="D41:F41"/>
    <mergeCell ref="G41:J41"/>
  </mergeCells>
  <dataValidations count="1">
    <dataValidation type="decimal" allowBlank="1" showInputMessage="1" showErrorMessage="1" sqref="G12:J12 G14:J35" xr:uid="{1C1C7F39-0F3D-480D-84E9-71B8D8F9CB35}">
      <formula1>0</formula1>
      <formula2>1000000000000000</formula2>
    </dataValidation>
  </dataValidations>
  <pageMargins left="0.31496062992125984" right="0" top="0.15748031496062992" bottom="0" header="0" footer="0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A08A-7ADE-4F8B-B1ED-2976E1ECE8F6}">
  <sheetPr codeName="Лист4"/>
  <dimension ref="A1:X39"/>
  <sheetViews>
    <sheetView view="pageBreakPreview" topLeftCell="C8" zoomScale="60" zoomScaleNormal="100" workbookViewId="0">
      <selection activeCell="E66" activeCellId="1" sqref="E33 E66"/>
    </sheetView>
  </sheetViews>
  <sheetFormatPr defaultColWidth="9.140625" defaultRowHeight="11.25" x14ac:dyDescent="0.15"/>
  <cols>
    <col min="1" max="2" width="0" style="98" hidden="1" customWidth="1"/>
    <col min="3" max="3" width="3.7109375" style="98" customWidth="1"/>
    <col min="4" max="4" width="5.7109375" style="98" customWidth="1"/>
    <col min="5" max="5" width="35.42578125" style="98" customWidth="1"/>
    <col min="6" max="6" width="35.85546875" style="98" customWidth="1"/>
    <col min="7" max="7" width="9.42578125" style="48" customWidth="1"/>
    <col min="8" max="23" width="7.7109375" style="48" customWidth="1"/>
    <col min="24" max="24" width="11.7109375" style="98" bestFit="1" customWidth="1"/>
    <col min="25" max="16384" width="9.140625" style="98"/>
  </cols>
  <sheetData>
    <row r="1" spans="1:24" s="39" customFormat="1" ht="4.5" hidden="1" customHeight="1" x14ac:dyDescent="0.2">
      <c r="A1" s="32"/>
      <c r="B1" s="32"/>
      <c r="C1" s="33">
        <v>0</v>
      </c>
      <c r="D1" s="33"/>
      <c r="E1" s="34">
        <v>0</v>
      </c>
      <c r="F1" s="34">
        <v>0</v>
      </c>
      <c r="G1" s="35">
        <f>2025</f>
        <v>2025</v>
      </c>
      <c r="H1" s="37" t="s">
        <v>35</v>
      </c>
      <c r="I1" s="38" t="s">
        <v>35</v>
      </c>
      <c r="J1" s="38" t="s">
        <v>35</v>
      </c>
      <c r="K1" s="38" t="s">
        <v>36</v>
      </c>
      <c r="L1" s="38" t="s">
        <v>37</v>
      </c>
      <c r="M1" s="38" t="s">
        <v>38</v>
      </c>
      <c r="N1" s="38" t="s">
        <v>39</v>
      </c>
      <c r="O1" s="38" t="s">
        <v>40</v>
      </c>
      <c r="P1" s="38" t="s">
        <v>41</v>
      </c>
      <c r="Q1" s="38" t="s">
        <v>42</v>
      </c>
      <c r="R1" s="38" t="s">
        <v>43</v>
      </c>
      <c r="S1" s="38" t="s">
        <v>44</v>
      </c>
      <c r="T1" s="38" t="s">
        <v>45</v>
      </c>
      <c r="U1" s="38" t="s">
        <v>46</v>
      </c>
      <c r="V1" s="38" t="s">
        <v>47</v>
      </c>
      <c r="W1" s="38" t="s">
        <v>35</v>
      </c>
      <c r="X1" s="36"/>
    </row>
    <row r="2" spans="1:24" s="41" customFormat="1" ht="4.5" hidden="1" customHeight="1" x14ac:dyDescent="0.15">
      <c r="A2" s="40"/>
      <c r="B2" s="40"/>
      <c r="H2" s="43">
        <f>G1-2</f>
        <v>2023</v>
      </c>
      <c r="I2" s="43">
        <f>G1-2</f>
        <v>2023</v>
      </c>
      <c r="J2" s="43">
        <f>G1-1</f>
        <v>2024</v>
      </c>
      <c r="K2" s="43">
        <f>$G$1</f>
        <v>2025</v>
      </c>
      <c r="L2" s="43">
        <f t="shared" ref="L2:W2" si="0">$G$1</f>
        <v>2025</v>
      </c>
      <c r="M2" s="43">
        <f t="shared" si="0"/>
        <v>2025</v>
      </c>
      <c r="N2" s="43">
        <f t="shared" si="0"/>
        <v>2025</v>
      </c>
      <c r="O2" s="43">
        <f t="shared" si="0"/>
        <v>2025</v>
      </c>
      <c r="P2" s="43">
        <f t="shared" si="0"/>
        <v>2025</v>
      </c>
      <c r="Q2" s="43">
        <f t="shared" si="0"/>
        <v>2025</v>
      </c>
      <c r="R2" s="43">
        <f t="shared" si="0"/>
        <v>2025</v>
      </c>
      <c r="S2" s="43">
        <f t="shared" si="0"/>
        <v>2025</v>
      </c>
      <c r="T2" s="43">
        <f t="shared" si="0"/>
        <v>2025</v>
      </c>
      <c r="U2" s="43">
        <f t="shared" si="0"/>
        <v>2025</v>
      </c>
      <c r="V2" s="43">
        <f t="shared" si="0"/>
        <v>2025</v>
      </c>
      <c r="W2" s="43">
        <f t="shared" si="0"/>
        <v>2025</v>
      </c>
    </row>
    <row r="3" spans="1:24" s="38" customFormat="1" ht="4.5" hidden="1" customHeight="1" x14ac:dyDescent="0.15">
      <c r="H3" s="38" t="s">
        <v>48</v>
      </c>
      <c r="I3" s="38" t="s">
        <v>49</v>
      </c>
      <c r="J3" s="38" t="s">
        <v>48</v>
      </c>
      <c r="K3" s="38" t="s">
        <v>48</v>
      </c>
      <c r="L3" s="38" t="s">
        <v>48</v>
      </c>
      <c r="M3" s="38" t="s">
        <v>48</v>
      </c>
      <c r="N3" s="38" t="s">
        <v>48</v>
      </c>
      <c r="O3" s="38" t="s">
        <v>48</v>
      </c>
      <c r="P3" s="38" t="s">
        <v>48</v>
      </c>
      <c r="Q3" s="38" t="s">
        <v>48</v>
      </c>
      <c r="R3" s="38" t="s">
        <v>48</v>
      </c>
      <c r="S3" s="38" t="s">
        <v>48</v>
      </c>
      <c r="T3" s="38" t="s">
        <v>48</v>
      </c>
      <c r="U3" s="38" t="s">
        <v>48</v>
      </c>
      <c r="V3" s="38" t="s">
        <v>48</v>
      </c>
      <c r="W3" s="38" t="s">
        <v>48</v>
      </c>
    </row>
    <row r="4" spans="1:24" ht="4.5" hidden="1" customHeight="1" x14ac:dyDescent="0.15"/>
    <row r="5" spans="1:24" ht="4.5" hidden="1" customHeight="1" x14ac:dyDescent="0.15"/>
    <row r="6" spans="1:24" ht="4.5" hidden="1" customHeight="1" x14ac:dyDescent="0.15"/>
    <row r="7" spans="1:24" ht="4.5" hidden="1" customHeight="1" x14ac:dyDescent="0.15"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4" ht="19.5" customHeight="1" x14ac:dyDescent="0.15"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V8" s="48" t="s">
        <v>50</v>
      </c>
      <c r="W8" s="53"/>
    </row>
    <row r="9" spans="1:24" ht="56.25" customHeight="1" x14ac:dyDescent="0.15">
      <c r="D9" s="127" t="str">
        <f>"Предложения " &amp;org&amp; " по технологическому расходу электроэнергии (мощности) - потерям в электрических сетях на "&amp;2025&amp;" год в субъекте РФ: "&amp;region_name</f>
        <v>Предложения АО "Салехардэнерго" по технологическому расходу электроэнергии (мощности) - потерям в электрических сетях на 2025 год в субъекте РФ: Ямало-Ненецкий автономный округ</v>
      </c>
      <c r="E9" s="127"/>
      <c r="F9" s="127"/>
      <c r="G9" s="127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spans="1:24" x14ac:dyDescent="0.15"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spans="1:24" ht="42.75" customHeight="1" x14ac:dyDescent="0.15">
      <c r="D11" s="99" t="s">
        <v>51</v>
      </c>
      <c r="E11" s="61" t="s">
        <v>6</v>
      </c>
      <c r="F11" s="100" t="s">
        <v>114</v>
      </c>
      <c r="G11" s="100" t="s">
        <v>53</v>
      </c>
      <c r="H11" s="61" t="str">
        <f>H3&amp;" "&amp;H2&amp;" "&amp;H1</f>
        <v>План 2023 Год</v>
      </c>
      <c r="I11" s="61" t="str">
        <f t="shared" ref="I11:W11" si="1">I3&amp;" "&amp;I2&amp;" "&amp;I1</f>
        <v>Факт 2023 Год</v>
      </c>
      <c r="J11" s="61" t="str">
        <f t="shared" si="1"/>
        <v>План 2024 Год</v>
      </c>
      <c r="K11" s="61" t="str">
        <f>K3&amp;" "&amp;K2&amp;" "&amp;K1</f>
        <v>План 2025 Январь</v>
      </c>
      <c r="L11" s="61" t="str">
        <f t="shared" si="1"/>
        <v>План 2025 Февраль</v>
      </c>
      <c r="M11" s="61" t="str">
        <f t="shared" si="1"/>
        <v>План 2025 Март</v>
      </c>
      <c r="N11" s="61" t="str">
        <f t="shared" si="1"/>
        <v>План 2025 Апрель</v>
      </c>
      <c r="O11" s="61" t="str">
        <f t="shared" si="1"/>
        <v>План 2025 Май</v>
      </c>
      <c r="P11" s="61" t="str">
        <f t="shared" si="1"/>
        <v>План 2025 Июнь</v>
      </c>
      <c r="Q11" s="61" t="str">
        <f t="shared" si="1"/>
        <v>План 2025 Июль</v>
      </c>
      <c r="R11" s="61" t="str">
        <f t="shared" si="1"/>
        <v>План 2025 Август</v>
      </c>
      <c r="S11" s="61" t="str">
        <f t="shared" si="1"/>
        <v>План 2025 Сентябрь</v>
      </c>
      <c r="T11" s="61" t="str">
        <f t="shared" si="1"/>
        <v>План 2025 Октябрь</v>
      </c>
      <c r="U11" s="61" t="str">
        <f t="shared" si="1"/>
        <v>План 2025 Ноябрь</v>
      </c>
      <c r="V11" s="61" t="str">
        <f t="shared" si="1"/>
        <v>План 2025 Декабрь</v>
      </c>
      <c r="W11" s="61" t="str">
        <f t="shared" si="1"/>
        <v>План 2025 Год</v>
      </c>
    </row>
    <row r="12" spans="1:24" x14ac:dyDescent="0.15">
      <c r="D12" s="101">
        <v>1</v>
      </c>
      <c r="E12" s="101">
        <v>2</v>
      </c>
      <c r="F12" s="101">
        <v>3</v>
      </c>
      <c r="G12" s="101">
        <v>4</v>
      </c>
      <c r="H12" s="101">
        <v>5</v>
      </c>
      <c r="I12" s="101">
        <v>6</v>
      </c>
      <c r="J12" s="101">
        <v>7</v>
      </c>
      <c r="K12" s="101">
        <v>8</v>
      </c>
      <c r="L12" s="101">
        <v>9</v>
      </c>
      <c r="M12" s="101">
        <v>10</v>
      </c>
      <c r="N12" s="101">
        <v>11</v>
      </c>
      <c r="O12" s="101">
        <v>12</v>
      </c>
      <c r="P12" s="101">
        <v>13</v>
      </c>
      <c r="Q12" s="101">
        <v>14</v>
      </c>
      <c r="R12" s="101">
        <v>15</v>
      </c>
      <c r="S12" s="101">
        <v>16</v>
      </c>
      <c r="T12" s="101">
        <v>17</v>
      </c>
      <c r="U12" s="101">
        <v>18</v>
      </c>
      <c r="V12" s="101">
        <v>19</v>
      </c>
      <c r="W12" s="101">
        <v>20</v>
      </c>
    </row>
    <row r="13" spans="1:24" ht="25.5" customHeight="1" thickBot="1" x14ac:dyDescent="0.2">
      <c r="D13" s="131" t="s">
        <v>115</v>
      </c>
      <c r="E13" s="132"/>
      <c r="F13" s="102" t="str">
        <f>"Заявленная мощность потребителей"&amp;IF(regionException_flag = 1, ", в т.ч.","")</f>
        <v>Заявленная мощность потребителей</v>
      </c>
      <c r="G13" s="103" t="s">
        <v>86</v>
      </c>
      <c r="H13" s="104">
        <f t="shared" ref="H13:W13" si="2">SUMIF($F$15:$F$18,"="&amp;$F13,H$15:H$18)</f>
        <v>4.8899999999999999E-2</v>
      </c>
      <c r="I13" s="104">
        <f t="shared" si="2"/>
        <v>5.6300000000000003E-2</v>
      </c>
      <c r="J13" s="104">
        <f t="shared" si="2"/>
        <v>5.1999999999999998E-2</v>
      </c>
      <c r="K13" s="104">
        <f t="shared" si="2"/>
        <v>8.1150626620496102E-2</v>
      </c>
      <c r="L13" s="104">
        <f t="shared" si="2"/>
        <v>6.9443828226541229E-2</v>
      </c>
      <c r="M13" s="104">
        <f t="shared" si="2"/>
        <v>6.6056866973466077E-2</v>
      </c>
      <c r="N13" s="104">
        <f t="shared" si="2"/>
        <v>5.4283105010703256E-2</v>
      </c>
      <c r="O13" s="104">
        <f t="shared" si="2"/>
        <v>4.5195864753124836E-2</v>
      </c>
      <c r="P13" s="104">
        <f t="shared" si="2"/>
        <v>3.5325225073405304E-2</v>
      </c>
      <c r="Q13" s="104">
        <f t="shared" si="2"/>
        <v>3.0065714613525835E-2</v>
      </c>
      <c r="R13" s="104">
        <f t="shared" si="2"/>
        <v>3.5490878206309036E-2</v>
      </c>
      <c r="S13" s="104">
        <f t="shared" si="2"/>
        <v>4.3943746415345458E-2</v>
      </c>
      <c r="T13" s="104">
        <f t="shared" si="2"/>
        <v>5.2442216012502589E-2</v>
      </c>
      <c r="U13" s="104">
        <f t="shared" si="2"/>
        <v>6.8638812740250021E-2</v>
      </c>
      <c r="V13" s="104">
        <f t="shared" si="2"/>
        <v>7.9955853987370276E-2</v>
      </c>
      <c r="W13" s="104">
        <f t="shared" si="2"/>
        <v>5.5166061552753325E-2</v>
      </c>
      <c r="X13" s="105"/>
    </row>
    <row r="14" spans="1:24" ht="12" hidden="1" thickBot="1" x14ac:dyDescent="0.2">
      <c r="D14" s="133"/>
      <c r="E14" s="134"/>
      <c r="F14" s="106"/>
      <c r="G14" s="107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5"/>
    </row>
    <row r="15" spans="1:24" ht="12" hidden="1" thickBot="1" x14ac:dyDescent="0.2">
      <c r="D15" s="109">
        <v>0</v>
      </c>
      <c r="E15" s="109"/>
      <c r="F15" s="110"/>
      <c r="G15" s="111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05"/>
    </row>
    <row r="16" spans="1:24" ht="26.25" customHeight="1" thickTop="1" thickBot="1" x14ac:dyDescent="0.2">
      <c r="C16" s="135" t="s">
        <v>116</v>
      </c>
      <c r="D16" s="137">
        <v>1</v>
      </c>
      <c r="E16" s="139" t="s">
        <v>7</v>
      </c>
      <c r="F16" s="113" t="str">
        <f>"Заявленная мощность потребителей"&amp;IF(regionException_flag = 1, ", в т.ч.","")</f>
        <v>Заявленная мощность потребителей</v>
      </c>
      <c r="G16" s="114" t="s">
        <v>86</v>
      </c>
      <c r="H16" s="115">
        <v>4.8899999999999999E-2</v>
      </c>
      <c r="I16" s="115">
        <v>5.6300000000000003E-2</v>
      </c>
      <c r="J16" s="115">
        <v>5.1999999999999998E-2</v>
      </c>
      <c r="K16" s="115">
        <v>8.1150626620496102E-2</v>
      </c>
      <c r="L16" s="115">
        <v>6.9443828226541229E-2</v>
      </c>
      <c r="M16" s="115">
        <v>6.6056866973466077E-2</v>
      </c>
      <c r="N16" s="115">
        <v>5.4283105010703256E-2</v>
      </c>
      <c r="O16" s="115">
        <v>4.5195864753124836E-2</v>
      </c>
      <c r="P16" s="115">
        <v>3.5325225073405304E-2</v>
      </c>
      <c r="Q16" s="115">
        <v>3.0065714613525835E-2</v>
      </c>
      <c r="R16" s="115">
        <v>3.5490878206309036E-2</v>
      </c>
      <c r="S16" s="115">
        <v>4.3943746415345458E-2</v>
      </c>
      <c r="T16" s="115">
        <v>5.2442216012502589E-2</v>
      </c>
      <c r="U16" s="115">
        <v>6.8638812740250021E-2</v>
      </c>
      <c r="V16" s="115">
        <v>7.9955853987370276E-2</v>
      </c>
      <c r="W16" s="116">
        <f>SUM(K16:V16)/12</f>
        <v>5.5166061552753325E-2</v>
      </c>
      <c r="X16" s="130"/>
    </row>
    <row r="17" spans="3:24" ht="15.75" hidden="1" thickBot="1" x14ac:dyDescent="0.2">
      <c r="C17" s="136"/>
      <c r="D17" s="138"/>
      <c r="E17" s="140"/>
      <c r="F17" s="117"/>
      <c r="G17" s="118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30"/>
    </row>
    <row r="18" spans="3:24" ht="12" thickTop="1" x14ac:dyDescent="0.15">
      <c r="D18" s="120"/>
      <c r="E18" s="121" t="s">
        <v>117</v>
      </c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3"/>
    </row>
    <row r="39" spans="13:13" x14ac:dyDescent="0.15">
      <c r="M39" s="48" t="s">
        <v>121</v>
      </c>
    </row>
  </sheetData>
  <mergeCells count="6">
    <mergeCell ref="X16:X17"/>
    <mergeCell ref="D9:G9"/>
    <mergeCell ref="D13:E14"/>
    <mergeCell ref="C16:C17"/>
    <mergeCell ref="D16:D17"/>
    <mergeCell ref="E16:E17"/>
  </mergeCells>
  <dataValidations count="2">
    <dataValidation type="decimal" operator="greaterThanOrEqual" allowBlank="1" showInputMessage="1" showErrorMessage="1" sqref="H16:V17" xr:uid="{05B7DBEF-2725-42F0-93D0-D1721A832453}">
      <formula1>0</formula1>
    </dataValidation>
    <dataValidation type="textLength" operator="lessThanOrEqual" allowBlank="1" showInputMessage="1" showErrorMessage="1" errorTitle="Ошибка" error="Допускается ввод не более 900 символов!" sqref="E16:E17" xr:uid="{D493CF2B-24AE-4374-B113-4176E96BD9E3}">
      <formula1>900</formula1>
    </dataValidation>
  </dataValidations>
  <pageMargins left="0.31496062992125984" right="0" top="0.15748031496062992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5D59-CCF1-48F8-A951-503DA5FB46E4}">
  <sheetPr codeName="Лист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Титульный</vt:lpstr>
      <vt:lpstr>Форма 3.1</vt:lpstr>
      <vt:lpstr>Форма 3.1 (кварталы)</vt:lpstr>
      <vt:lpstr>Субабоненты</vt:lpstr>
      <vt:lpstr>Лист4</vt:lpstr>
      <vt:lpstr>Субабоненты!Область_печати</vt:lpstr>
      <vt:lpstr>'Форма 3.1 (кварталы)'!Область_печати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2024-03-28T07:21:10Z</cp:lastPrinted>
  <dcterms:created xsi:type="dcterms:W3CDTF">2024-03-27T11:13:12Z</dcterms:created>
  <dcterms:modified xsi:type="dcterms:W3CDTF">2024-03-28T07:22:14Z</dcterms:modified>
</cp:coreProperties>
</file>