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6420" activeTab="0"/>
  </bookViews>
  <sheets>
    <sheet name="Лист1  (2)" sheetId="1" r:id="rId1"/>
    <sheet name="Лист1 " sheetId="2" r:id="rId2"/>
    <sheet name="Лист1" sheetId="3" r:id="rId3"/>
  </sheets>
  <definedNames/>
  <calcPr fullCalcOnLoad="1" fullPrecision="0"/>
</workbook>
</file>

<file path=xl/sharedStrings.xml><?xml version="1.0" encoding="utf-8"?>
<sst xmlns="http://schemas.openxmlformats.org/spreadsheetml/2006/main" count="739" uniqueCount="405">
  <si>
    <t xml:space="preserve"> </t>
  </si>
  <si>
    <t>УТВЕРЖДАЮ</t>
  </si>
  <si>
    <t>о т ч е т</t>
  </si>
  <si>
    <t>г.Салехард</t>
  </si>
  <si>
    <t>Кол-во</t>
  </si>
  <si>
    <t>Цена</t>
  </si>
  <si>
    <t>Сумма</t>
  </si>
  <si>
    <t>НДС</t>
  </si>
  <si>
    <t>Всего сумма с НДС</t>
  </si>
  <si>
    <t>квт-ч</t>
  </si>
  <si>
    <t>руб.</t>
  </si>
  <si>
    <t>1.</t>
  </si>
  <si>
    <t>Бюдж-е и прочие предприятия всего:</t>
  </si>
  <si>
    <t>2.</t>
  </si>
  <si>
    <t>прочие предприятия</t>
  </si>
  <si>
    <t>3.</t>
  </si>
  <si>
    <t>Бюджетные предприятия:</t>
  </si>
  <si>
    <t>3.1</t>
  </si>
  <si>
    <t>Окружной бюджет</t>
  </si>
  <si>
    <t>3.2.</t>
  </si>
  <si>
    <t>Федеральный бюджет</t>
  </si>
  <si>
    <t>3.3.</t>
  </si>
  <si>
    <t>Городской бюджет в т.ч. :</t>
  </si>
  <si>
    <t>3.3.1</t>
  </si>
  <si>
    <t>Уличное освещение</t>
  </si>
  <si>
    <t>3.3.2</t>
  </si>
  <si>
    <t>Архитектурное освещение</t>
  </si>
  <si>
    <t>Мост Факел (благоустройство)</t>
  </si>
  <si>
    <t>Прочие предприятия Городской бюдж.</t>
  </si>
  <si>
    <t>4.</t>
  </si>
  <si>
    <t>Всего население г.Салехард</t>
  </si>
  <si>
    <t>4.1</t>
  </si>
  <si>
    <t>Предъявлено населению</t>
  </si>
  <si>
    <t>6.</t>
  </si>
  <si>
    <t>Всего реализация по г.Салехард</t>
  </si>
  <si>
    <t>п.Пельвож</t>
  </si>
  <si>
    <t>в т.ч. прочие предприятия</t>
  </si>
  <si>
    <t>Муниципальный бюджет в т.ч. :</t>
  </si>
  <si>
    <t>Управление образования</t>
  </si>
  <si>
    <t>уличное освещение</t>
  </si>
  <si>
    <t>5.</t>
  </si>
  <si>
    <t>Всего население по п.Пельвож</t>
  </si>
  <si>
    <t>Всего по п.Пельвож</t>
  </si>
  <si>
    <t>Внутрихозяйственные нужды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</si>
  <si>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</si>
  <si>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Отчет соответствует данным бух. учета.</t>
  </si>
  <si>
    <t>ООО "Изумрудный город" (население)</t>
  </si>
  <si>
    <t>ООО Изумрудный город (население) ночь</t>
  </si>
  <si>
    <t>ТСЖ Изумрудный город ж/ф (население)</t>
  </si>
  <si>
    <t>ТСЖ Изумрудный город ж/ф (население) ночь</t>
  </si>
  <si>
    <t>Предъявлено населению :</t>
  </si>
  <si>
    <t>ООО "Изумрудный город" (ТЦЖЗ) день</t>
  </si>
  <si>
    <t>8</t>
  </si>
  <si>
    <t>9</t>
  </si>
  <si>
    <t>10</t>
  </si>
  <si>
    <t>11</t>
  </si>
  <si>
    <t>4.2</t>
  </si>
  <si>
    <t>4.5</t>
  </si>
  <si>
    <t>4.6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</si>
  <si>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</si>
  <si>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</si>
  <si>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</si>
  <si>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</si>
  <si>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</si>
  <si>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</si>
  <si>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</si>
  <si>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</si>
  <si>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</si>
  <si>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</si>
  <si>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3.3.3</t>
  </si>
  <si>
    <t>12</t>
  </si>
  <si>
    <t>13</t>
  </si>
  <si>
    <t>ТСЖ Изумрудный город (тцжз) ночь</t>
  </si>
  <si>
    <t>ТСЖ Изумрудный город (тцжз)день</t>
  </si>
  <si>
    <t>ООО "Изумрудный город" (ТЦЖЗ) ночь</t>
  </si>
  <si>
    <t>ООО "Стройжилсервис" ТЦЖЗ</t>
  </si>
  <si>
    <t>ООО "Стройжилсервис" население (день)</t>
  </si>
  <si>
    <t>ООО "Стройжилсервис" население (ночь)</t>
  </si>
  <si>
    <t xml:space="preserve">ТСЖ Изумрудный город (тцжз) </t>
  </si>
  <si>
    <t xml:space="preserve">ООО "Изумрудный город" (ТЦЖЗ) </t>
  </si>
  <si>
    <t xml:space="preserve">ООО "Стройжилсервис" население </t>
  </si>
  <si>
    <t>ООО "Стройжилсервис" население</t>
  </si>
  <si>
    <t>ООО "Ремстрой" население</t>
  </si>
  <si>
    <t>ООО "Ремстрой" население (день)</t>
  </si>
  <si>
    <t>ООО "Ремстрой" население (ночь)</t>
  </si>
  <si>
    <t xml:space="preserve">ООО "Ремстрой" население </t>
  </si>
  <si>
    <t>ООО "Ремстрой" население  (день)</t>
  </si>
  <si>
    <t>ООО "Ремстрой" ТЦЖЗ</t>
  </si>
  <si>
    <t>4.7</t>
  </si>
  <si>
    <t>7.2</t>
  </si>
  <si>
    <t>4.22</t>
  </si>
  <si>
    <t>4.25</t>
  </si>
  <si>
    <t>100% тариф</t>
  </si>
  <si>
    <t>субсидия</t>
  </si>
  <si>
    <t>4.3</t>
  </si>
  <si>
    <t>4.4</t>
  </si>
  <si>
    <t>4.26</t>
  </si>
  <si>
    <t>без ндс с пельвожом</t>
  </si>
  <si>
    <t>4.20</t>
  </si>
  <si>
    <t>4.21</t>
  </si>
  <si>
    <t>4.23</t>
  </si>
  <si>
    <t>4.24</t>
  </si>
  <si>
    <t>(илюминация)</t>
  </si>
  <si>
    <t>Гаражные кооперативы (день)</t>
  </si>
  <si>
    <t>Гаражные кооперативы (ночь)</t>
  </si>
  <si>
    <t>ООО "СитиСервис" ТЦЖЗ</t>
  </si>
  <si>
    <t>ООО "СитиСервис" население</t>
  </si>
  <si>
    <t>ООО УК ЯмалКомЭнерго (тцжз)</t>
  </si>
  <si>
    <t>минус МАУЛЮД 141-Э и минус Пельвож прочие</t>
  </si>
  <si>
    <t>минус Пельвож</t>
  </si>
  <si>
    <t>3,1,2</t>
  </si>
  <si>
    <t>3,1,1</t>
  </si>
  <si>
    <t>Гаражные кооперативы (одностав.)</t>
  </si>
  <si>
    <t>ООО " СК Галактика" население</t>
  </si>
  <si>
    <t>ООО "СК Галактика" население день</t>
  </si>
  <si>
    <t>ООО "СК Галактика" население ночь</t>
  </si>
  <si>
    <t>Дата; номер договора на электроснабжение с УО, ТСЖ</t>
  </si>
  <si>
    <t>7</t>
  </si>
  <si>
    <t>7.1</t>
  </si>
  <si>
    <t>7.3</t>
  </si>
  <si>
    <t>Население г. Салехард</t>
  </si>
  <si>
    <t>Кол-во кВт/час</t>
  </si>
  <si>
    <t>Сумма руб.</t>
  </si>
  <si>
    <t>Всего сумма с НДС руб.</t>
  </si>
  <si>
    <t>НДС руб.</t>
  </si>
  <si>
    <t>№ 35 М-Э население от 03.03.2014г.</t>
  </si>
  <si>
    <t>№ 35 М-Э ТЦЖЗ от 03.03.2014г.</t>
  </si>
  <si>
    <t>№ 10/1-Э ТЦЖЗ от 22.04.2014г.</t>
  </si>
  <si>
    <t>№ 24 М-Э ТЦЖЗ от 30.05.2011г.</t>
  </si>
  <si>
    <t>№ 24 М-Э население от 30.05.2011г.</t>
  </si>
  <si>
    <t>№ 12 М-Э ТЦЖЗ от 27.08.2013г.</t>
  </si>
  <si>
    <t>№ 12 М-Э население от 27.08.2013г.</t>
  </si>
  <si>
    <t>№ 23 М-Э ТЦЖЗ от 29.03.2011г.</t>
  </si>
  <si>
    <t>№ 23 М-Э население от 29.03.2011г.</t>
  </si>
  <si>
    <t>№ 9 М-Э ТЦЖЗ от 27.08.2013г.</t>
  </si>
  <si>
    <t>№ 9 М-Э население от 27.08.2013г.</t>
  </si>
  <si>
    <t>№ 19 М-Э население от 01.03.2011г.</t>
  </si>
  <si>
    <t>ДНТ "Север"</t>
  </si>
  <si>
    <t>№ 786-Э от 17.02.15г.</t>
  </si>
  <si>
    <t>№ 785-Э от 17.02.15г.</t>
  </si>
  <si>
    <t xml:space="preserve">ООО УК "ЯмалКомЭнерго" население </t>
  </si>
  <si>
    <t>Храм Петра и Павла</t>
  </si>
  <si>
    <t>Церковь Евангельских христиан</t>
  </si>
  <si>
    <t>ММРО "Маулюд"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</si>
  <si>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</si>
  <si>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</si>
  <si>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</si>
  <si>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</si>
  <si>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</si>
  <si>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</si>
  <si>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</si>
  <si>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</si>
  <si>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</si>
  <si>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</si>
  <si>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</si>
  <si>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</si>
  <si>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4,27</t>
  </si>
  <si>
    <t>4,28</t>
  </si>
  <si>
    <t>4,29</t>
  </si>
  <si>
    <t>4,30</t>
  </si>
  <si>
    <t>4,31</t>
  </si>
  <si>
    <t>4,32</t>
  </si>
  <si>
    <t>4,33</t>
  </si>
  <si>
    <t>4,34</t>
  </si>
  <si>
    <t>4,35</t>
  </si>
  <si>
    <t>4,36</t>
  </si>
  <si>
    <t>4,37</t>
  </si>
  <si>
    <t>4,38</t>
  </si>
  <si>
    <t>4,39</t>
  </si>
  <si>
    <t>4,40</t>
  </si>
  <si>
    <t>4,41</t>
  </si>
  <si>
    <t>4,42</t>
  </si>
  <si>
    <t>4,43</t>
  </si>
  <si>
    <t>4,44</t>
  </si>
  <si>
    <t>4,45</t>
  </si>
  <si>
    <t>4,46</t>
  </si>
  <si>
    <t>4,47</t>
  </si>
  <si>
    <t>4,48</t>
  </si>
  <si>
    <t>4,49</t>
  </si>
  <si>
    <t>4,50</t>
  </si>
  <si>
    <t>4,51</t>
  </si>
  <si>
    <t>4,52</t>
  </si>
  <si>
    <t>4,53</t>
  </si>
  <si>
    <t>4,54</t>
  </si>
  <si>
    <t>4,55</t>
  </si>
  <si>
    <t>4,56</t>
  </si>
  <si>
    <t>4,57</t>
  </si>
  <si>
    <t>4,58</t>
  </si>
  <si>
    <t>4,59</t>
  </si>
  <si>
    <t>4,60</t>
  </si>
  <si>
    <t>4,61</t>
  </si>
  <si>
    <t>4,62</t>
  </si>
  <si>
    <t>4,64</t>
  </si>
  <si>
    <t>4,65</t>
  </si>
  <si>
    <t>4,66</t>
  </si>
  <si>
    <t>4,67</t>
  </si>
  <si>
    <t>4,68</t>
  </si>
  <si>
    <t>4,69</t>
  </si>
  <si>
    <t>4,70</t>
  </si>
  <si>
    <t>4,71</t>
  </si>
  <si>
    <t>4,72</t>
  </si>
  <si>
    <t>4,73</t>
  </si>
  <si>
    <t>4,74</t>
  </si>
  <si>
    <t>минус Пельвож минус строки 3,1.1-3,1.2</t>
  </si>
  <si>
    <t>НТСН "Надежда"</t>
  </si>
  <si>
    <t>_____________________  2016г.</t>
  </si>
  <si>
    <t>АО "Салехардэнерго"</t>
  </si>
  <si>
    <t>3.3.4</t>
  </si>
  <si>
    <t>№ 419-Э от 04.09.2009г.</t>
  </si>
  <si>
    <t>№ 10/1-Э население от 22.04.2014г.</t>
  </si>
  <si>
    <t>№ 141-Э от 01.01.2016г.</t>
  </si>
  <si>
    <t>№ 145-Э от 21.01.2016г.</t>
  </si>
  <si>
    <t>Пожарные водоемы</t>
  </si>
  <si>
    <t>Больница окружная  ФАП п. Пельвож</t>
  </si>
  <si>
    <t>3.3.5</t>
  </si>
  <si>
    <t>(Дорожная дирекция 30/1+ счетная палата 116-Э)</t>
  </si>
  <si>
    <t>д/с в пельвоже закрыт, был в солнышке</t>
  </si>
  <si>
    <t xml:space="preserve">  Начальник ОР</t>
  </si>
  <si>
    <t>А.А. Палий</t>
  </si>
  <si>
    <t>по коммерческим вопросам</t>
  </si>
  <si>
    <t>Зам. генерального директора</t>
  </si>
  <si>
    <t>Контрагент</t>
  </si>
  <si>
    <t>Количество</t>
  </si>
  <si>
    <t>Сумма продажи в руб.</t>
  </si>
  <si>
    <t>Номенклатура, Базовая единица измерения</t>
  </si>
  <si>
    <t>Авто Хаус ГСК</t>
  </si>
  <si>
    <t>Электроэнергия потребителям, приравненным к населению, одноставочный тариф, кВт.ч</t>
  </si>
  <si>
    <t>Автолюбитель ГСК</t>
  </si>
  <si>
    <t>Автолюкс ГСПК</t>
  </si>
  <si>
    <t>Автомобилист-2 ГСК</t>
  </si>
  <si>
    <t>Электроэнергия потребителям, приравненным к населению, дифференцированный тариф ночная зона, кВт.ч</t>
  </si>
  <si>
    <t>Электроэнергия потребителям, приравненным к населению, дифференцированный тариф пиковая зона, кВт.ч</t>
  </si>
  <si>
    <t>Игарка ГСК</t>
  </si>
  <si>
    <t>Кузьмич ГСК</t>
  </si>
  <si>
    <t>Лагуна 2 ГСК 20/Э</t>
  </si>
  <si>
    <t>Лагуна-2 ГСК (28/Э)</t>
  </si>
  <si>
    <t>Население (э/э)</t>
  </si>
  <si>
    <t>Электроэнергия населению (город) с газовыми плитами дифферен.тариф - ночная зона, кВт.ч</t>
  </si>
  <si>
    <t>Электроэнергия населению (город) с газовыми плитами дифферен.тариф - пиковая зона, кВт.ч</t>
  </si>
  <si>
    <t>Электроэнергия населению (город) с газовыми плитами одноставочный тариф, кВт.ч</t>
  </si>
  <si>
    <t>Электроэнергия населению (город) с электроплитами дифферен.тариф - ночная зона, кВт.ч</t>
  </si>
  <si>
    <t>Электроэнергия населению (город) с электроплитами дифферен.тариф - пиковая зона, кВт.ч</t>
  </si>
  <si>
    <t>Электроэнергия населению (город) с электроплитами одноставочный тариф, кВт.ч</t>
  </si>
  <si>
    <t>Население Галактика</t>
  </si>
  <si>
    <t>Население ДНТ "Север"</t>
  </si>
  <si>
    <t>Население Изумрудный город ООО</t>
  </si>
  <si>
    <t>Население Надежда НТСН</t>
  </si>
  <si>
    <t>Население Обь-Иртышводпуть</t>
  </si>
  <si>
    <t>Население п.Горнокнязевск</t>
  </si>
  <si>
    <t>Электроэнергия населению (сельские населенные пункты) дифференцированный тариф ночная зона, кВт.ч</t>
  </si>
  <si>
    <t>Электроэнергия населению (сельские населенные пункты) дифференцированный тариф пиковая зона, кВт.ч</t>
  </si>
  <si>
    <t>Электроэнергия населению (сельские населенные пункты) одноставочный тариф, кВт.ч</t>
  </si>
  <si>
    <t>Население Ремстрой ООО</t>
  </si>
  <si>
    <t>Население СитиСервис ООО</t>
  </si>
  <si>
    <t>Население Стройжилсервис ООО</t>
  </si>
  <si>
    <t>Население ТСЖ Изумрудный</t>
  </si>
  <si>
    <t>Население ЯмалКомЭнерго ООО УК</t>
  </si>
  <si>
    <t>Фемида ГСК</t>
  </si>
  <si>
    <t>Ямал-авто ПГК</t>
  </si>
  <si>
    <t>Итог</t>
  </si>
  <si>
    <t>_________________ Е.Л. Майлатов</t>
  </si>
  <si>
    <t>Исп.: Инженер ОР Д.Г. Зонова</t>
  </si>
  <si>
    <t>экономист ПЭО Зарипов А.Э.</t>
  </si>
  <si>
    <t>4,63</t>
  </si>
  <si>
    <t xml:space="preserve">       Начальник ПЭО</t>
  </si>
  <si>
    <t>Т.В. Меркулова</t>
  </si>
  <si>
    <t>по электроэнергии за ноябрь  2016г.</t>
  </si>
  <si>
    <t>Всего реализовано эл.энергии населению г. Салехард-п.Горно-Князевск :</t>
  </si>
  <si>
    <t>Реализовано Бюдж-м предпр г. Салехард - п. Горнокнязевск всего:</t>
  </si>
  <si>
    <t>Реализовано прочим.предпр. г. Салехард-п. Горнокнязевск всего:</t>
  </si>
  <si>
    <t>Всего реализовано электроэнергииг. Салехард - п. Горнокнязевск:</t>
  </si>
  <si>
    <t>14</t>
  </si>
  <si>
    <t>15</t>
  </si>
  <si>
    <t>Реализовано Бюдж-м и прочим предприятиям п. Пельвож всего:</t>
  </si>
  <si>
    <t>Реализовано населению п. Пельвож всего:</t>
  </si>
  <si>
    <t>Затраты на хоз. нужды предприятия "Электрические станции"</t>
  </si>
  <si>
    <t>16</t>
  </si>
  <si>
    <t>17</t>
  </si>
  <si>
    <t>18</t>
  </si>
  <si>
    <t>Полезный отпуск всего :</t>
  </si>
  <si>
    <t>Реализовано всего населению:</t>
  </si>
  <si>
    <t>Реализовано бюджетным организация всего:</t>
  </si>
  <si>
    <t>Реализовано прочим организация всего:</t>
  </si>
  <si>
    <t>Потери г. Салехард - п. Горнокнязевск к договору № 477 от 23.09.2016г.  АО "РСК "Ямала"</t>
  </si>
  <si>
    <t>Потери п. Пельвож</t>
  </si>
  <si>
    <t>19</t>
  </si>
  <si>
    <t>Всего реализация г. Салехард - п. Пельвож- п. Горнокнязевск:</t>
  </si>
  <si>
    <t>п. Горнокнязевск население</t>
  </si>
  <si>
    <t>Всего по п. Горнокнязевск</t>
  </si>
  <si>
    <t>ООО "СтройГарант" 469-Э, Росток+360-Э+374-Э</t>
  </si>
  <si>
    <t>Потери в сетях г. Салехард - п. Горнокнязевск</t>
  </si>
  <si>
    <t>Отпуск в сети п. Пельвож</t>
  </si>
  <si>
    <t>20</t>
  </si>
  <si>
    <t>Итого реализация с внутрихозяйственными нуждами г. Салехард - п. Горнокнязевск - п. Пельвож</t>
  </si>
  <si>
    <t>Муниципальный бюджет</t>
  </si>
  <si>
    <t>НТСН "Север"</t>
  </si>
  <si>
    <t>ООО "Стройжилсервис" ОДН по нормативу</t>
  </si>
  <si>
    <t>ООО "Стройжилсервис" ОДН по ОДПУ</t>
  </si>
  <si>
    <t>ООО "Альянсгрупп"  ОДН по ОДПУ</t>
  </si>
  <si>
    <t>ООО "Обдорский дом" ОДН по ОДПУ</t>
  </si>
  <si>
    <t>ООО "Олимп" ОДН по нормативу</t>
  </si>
  <si>
    <t>ООО "Олимп" ОДН по ОДПУ</t>
  </si>
  <si>
    <t>ООО "Реформатор" ОДН по нормативу</t>
  </si>
  <si>
    <t>ООО "Реформатор" ОДН по ОДПУ</t>
  </si>
  <si>
    <t>ООО "Единая городская управляющая компания" ОДН по нормативу</t>
  </si>
  <si>
    <t>ООО "Единая городская управляющая компания" ОДН по ОДПУ</t>
  </si>
  <si>
    <t>ООО УК "Ремстрой" ОДН по нормативу</t>
  </si>
  <si>
    <t>ООО УК "Ремстрой" ОДН по ОДПУ</t>
  </si>
  <si>
    <t>ООО "ЖК "Возрождение" ОДН по нормативу</t>
  </si>
  <si>
    <t>ООО "ЖК "Возрождение" (население) ОДН по ОДПУ</t>
  </si>
  <si>
    <t>ТСЖ "Возрождение" ОДН по нормативу</t>
  </si>
  <si>
    <t>ТСЖ "Возрождение" ОДН по ОДПУ</t>
  </si>
  <si>
    <t>ООО "Изумрудный город" ОДН по нормативу</t>
  </si>
  <si>
    <t>ООО "Изумрудный город" ОДН по ОДПУ</t>
  </si>
  <si>
    <t>ООО "Пушинка" ОДН по нормативу</t>
  </si>
  <si>
    <t>ООО "Пушинка" ОДН по ОДПУ</t>
  </si>
  <si>
    <t>ООО "Салехардская Жилищная Компания" ОДН по нормативу</t>
  </si>
  <si>
    <t>ООО "Салехардская Жилищная Компания" ОДН по ОДПУ</t>
  </si>
  <si>
    <t>ООО "Прогресс" ОДН по ОДПУ</t>
  </si>
  <si>
    <t>ООО "СтройБизнесИнвест" ОДН по ОДПУ</t>
  </si>
  <si>
    <t>ООО "СитиСервис" ОДН по ОДПУ</t>
  </si>
  <si>
    <t>реализация ЭЭ г. Салехард - п. Горнокнязевск</t>
  </si>
  <si>
    <t>Итого реализация ЭЭ по г. Салехард - п. Горнокнязевск</t>
  </si>
  <si>
    <t>Внутрихозяйственные нужды:</t>
  </si>
  <si>
    <t>в т.ч. Предприятия "Электрические станции"</t>
  </si>
  <si>
    <t>№ 9-Э/ОДН энергоснабжения (покупки электроэнергии на ОДН) от 26.01.2017г.</t>
  </si>
  <si>
    <t>№ 141-Э  от 06.02.2017г.</t>
  </si>
  <si>
    <t>№ 145-Э от 01.02.2017г.</t>
  </si>
  <si>
    <t>№ 35-Э/ОДН энергоснабжения (покупки электроэнергии на ОДН) от 01.01.2017г.</t>
  </si>
  <si>
    <t>№ 41-Э/ОДН энергоснабжения (покупки электроэнергии на ОДН) от 01.01.2017г.</t>
  </si>
  <si>
    <t>№ 45-Э/ОДН энергоснабжения (покупки электроэнергии на ОДН) от 09.01.2017г.</t>
  </si>
  <si>
    <t>№ 23-Э/ОДН энергоснабжения (покупки электроэнергии на ОДН) от 01.01.2017г.</t>
  </si>
  <si>
    <t>ТСЖ Изумрудный город (тцжз)</t>
  </si>
  <si>
    <t>№ 43-Э/ОДН энергоснабжения (покупки электроэнергии на ОДН) от 01.01.2017г.</t>
  </si>
  <si>
    <t>№ 44-Э/ОДН энергоснабжения (покупки электроэнергии на ОДН) от 01.01.2017г.</t>
  </si>
  <si>
    <t>2.1</t>
  </si>
  <si>
    <t>2.2</t>
  </si>
  <si>
    <t>№ 39-Э/ОДН энергоснабжения (покупки электроэнергии на ОДН) с 01.01.2017г.</t>
  </si>
  <si>
    <t>№ 31-Э/ОДН энергоснабжения (покупки электроэнергии на ОДН) 31.12.2016г.</t>
  </si>
  <si>
    <t>№ 34-Э/ОДН энергоснабжения (покупки электроэнергии на ОДН) от 01.01.2017г.</t>
  </si>
  <si>
    <t>№ 37-Э/ОДН энергоснабжения (покупки электроэнергии на ОДН) от 01.01.2017г.</t>
  </si>
  <si>
    <t>№ 40-Э/ОДН энергоснабжения (покупки электроэнергии на ОДН) от 31.12.2016г.</t>
  </si>
  <si>
    <t>№ 46-Э/ОДН энергоснабжения (покупки электроэнергии на ОДН) от 01.01.2017г.</t>
  </si>
  <si>
    <t>№ 47-Э/ОДН энергоснабжения (покупки электроэнергии на ОДН) от 01.01.2017г.</t>
  </si>
  <si>
    <t>ООО "Изумрудный город" население электроэнергии на СОИД</t>
  </si>
  <si>
    <t xml:space="preserve">ООО "Изумрудный город" (население) </t>
  </si>
  <si>
    <t>№ 24-Э/ОДН (покупки электроэнергии на ОДН) от 01.04.2017г.</t>
  </si>
  <si>
    <t>ООО "Ремстрой" ОДН по норме</t>
  </si>
  <si>
    <t>ООО "Ремстрой" ОДН по ОДПУ</t>
  </si>
  <si>
    <t>№ 36-Э/ОДН энергоснабжения (покупки электроэнергии на ОДН) от 01.02.2017г.</t>
  </si>
  <si>
    <t>ООО "Прогресс" ОДН по нормативу</t>
  </si>
  <si>
    <t>ООО "Обдорский дом" ОДН по нормативу</t>
  </si>
  <si>
    <t xml:space="preserve">ООО "Изумрудный город" ОДН по нормативу </t>
  </si>
  <si>
    <t>ООО УК "Юрибей" ОДН по ОДПУ</t>
  </si>
  <si>
    <t>4.27</t>
  </si>
  <si>
    <t>4.28</t>
  </si>
  <si>
    <t xml:space="preserve">ООО "Арктическое" ОДН по ОДПУ </t>
  </si>
  <si>
    <t>Архитектурное освещение (Иллюминация)</t>
  </si>
  <si>
    <t>ООО "СтройБизнесИнвест" ОДН по нормативу</t>
  </si>
  <si>
    <t xml:space="preserve">Исп.: Ведущий инженер ОР Д.Г. Зонова      </t>
  </si>
  <si>
    <t>ООО "Арктическое" ОДН по нормативу</t>
  </si>
  <si>
    <t>Всего реализовано эл.энергии населению г. Салехард-п.Горно-Князевск в т.ч. :</t>
  </si>
  <si>
    <t>8.1</t>
  </si>
  <si>
    <t>Исполнители Коммунальных услуг:</t>
  </si>
  <si>
    <t>Исполнители коммунальных услуг (газовые плиты (одноставочный тариф)):</t>
  </si>
  <si>
    <t>Исполнители коммунальных услуг (газовые плиты (день)):</t>
  </si>
  <si>
    <t>Исполнители коммунальных услуг (газовые плиты (ночь)):</t>
  </si>
  <si>
    <t>Исполнители коммунальных услуг (электрические плиты (одноставочный тариф)):</t>
  </si>
  <si>
    <t>Исполнители коммунальных услуг (электрические плиты (день)):</t>
  </si>
  <si>
    <t>Исполнители коммунальных услуг (электрические плиты (ночь)):</t>
  </si>
  <si>
    <t>8.1.1</t>
  </si>
  <si>
    <t>8.1.2</t>
  </si>
  <si>
    <t>8.1.3</t>
  </si>
  <si>
    <t>8.1.4</t>
  </si>
  <si>
    <t>8.1.5</t>
  </si>
  <si>
    <t>8.1.6</t>
  </si>
  <si>
    <t>ООО "Альянсгрупп"  ОДН по нормативу</t>
  </si>
  <si>
    <t>4,75</t>
  </si>
  <si>
    <t>4,76</t>
  </si>
  <si>
    <t>4,77</t>
  </si>
  <si>
    <t>4,78</t>
  </si>
  <si>
    <t>4,79</t>
  </si>
  <si>
    <t>4,80</t>
  </si>
  <si>
    <t>4,81</t>
  </si>
  <si>
    <t>4,82</t>
  </si>
  <si>
    <t>4,83</t>
  </si>
  <si>
    <t>4,84</t>
  </si>
  <si>
    <t>4,85</t>
  </si>
  <si>
    <t>4,86</t>
  </si>
  <si>
    <t>4,87</t>
  </si>
  <si>
    <t>4,88</t>
  </si>
  <si>
    <t>4,89</t>
  </si>
  <si>
    <t>4,90</t>
  </si>
  <si>
    <t>4,91</t>
  </si>
  <si>
    <t>4,92</t>
  </si>
  <si>
    <t>4,93</t>
  </si>
  <si>
    <t>4,94</t>
  </si>
  <si>
    <t>4,95</t>
  </si>
  <si>
    <t>4,96</t>
  </si>
  <si>
    <t>4,97</t>
  </si>
  <si>
    <t>4,98</t>
  </si>
  <si>
    <t>№ 48-Э/ОДН энергоснабжения (покупки электроэнергии на ОДН) от 01.01.2017г.</t>
  </si>
  <si>
    <t>№ 38-Э/ОДН энергоснабжения (покупки электроэнергии на ОДН) от 28.12.2016г.</t>
  </si>
  <si>
    <t>Полезный отпуск</t>
  </si>
  <si>
    <t>электроэнергии за январь  2018г.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</si>
</sst>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</numFmts>
  <fonts count="114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9"/>
      <color indexed="8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name val="Arial Cyr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11"/>
      <name val="Arial Cyr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name val="Arial Cyr"/>
      <family val="2"/>
    </font>
    <font>
      <b/>
      <sz val="9"/>
      <color indexed="12"/>
      <name val="Arial Cyr"/>
      <family val="2"/>
    </font>
    <font>
      <b/>
      <sz val="10"/>
      <color indexed="8"/>
      <name val="Arial"/>
      <family val="2"/>
    </font>
    <font>
      <b/>
      <i/>
      <sz val="8"/>
      <name val="Arial Cyr"/>
      <family val="0"/>
    </font>
    <font>
      <b/>
      <sz val="10"/>
      <color indexed="57"/>
      <name val="Arial"/>
      <family val="2"/>
    </font>
    <font>
      <b/>
      <sz val="8"/>
      <color indexed="59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8"/>
      <color indexed="30"/>
      <name val="Arial Cyr"/>
      <family val="2"/>
    </font>
    <font>
      <sz val="8"/>
      <color indexed="62"/>
      <name val="Arial Cyr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40"/>
      <name val="Arial"/>
      <family val="2"/>
    </font>
    <font>
      <b/>
      <sz val="8"/>
      <color indexed="60"/>
      <name val="Arial"/>
      <family val="2"/>
    </font>
    <font>
      <sz val="8"/>
      <color indexed="62"/>
      <name val="Arial"/>
      <family val="2"/>
    </font>
    <font>
      <b/>
      <sz val="10"/>
      <color indexed="10"/>
      <name val="Arial Cyr"/>
      <family val="2"/>
    </font>
    <font>
      <b/>
      <sz val="8"/>
      <color indexed="30"/>
      <name val="Arial Cyr"/>
      <family val="2"/>
    </font>
    <font>
      <b/>
      <sz val="8"/>
      <color indexed="30"/>
      <name val="Arial "/>
      <family val="0"/>
    </font>
    <font>
      <b/>
      <sz val="9"/>
      <color indexed="30"/>
      <name val="Arial Cyr"/>
      <family val="2"/>
    </font>
    <font>
      <b/>
      <i/>
      <sz val="9"/>
      <color indexed="10"/>
      <name val="Arial Cyr"/>
      <family val="0"/>
    </font>
    <font>
      <b/>
      <sz val="9"/>
      <color indexed="60"/>
      <name val="Arial Cyr"/>
      <family val="2"/>
    </font>
    <font>
      <b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rgb="FF00B050"/>
      <name val="Arial"/>
      <family val="2"/>
    </font>
    <font>
      <sz val="8"/>
      <color rgb="FF0070C0"/>
      <name val="Arial Cyr"/>
      <family val="2"/>
    </font>
    <font>
      <b/>
      <sz val="10"/>
      <color rgb="FFFF0000"/>
      <name val="Arial"/>
      <family val="2"/>
    </font>
    <font>
      <sz val="8"/>
      <color theme="3" tint="0.39998000860214233"/>
      <name val="Arial Cyr"/>
      <family val="2"/>
    </font>
    <font>
      <sz val="8"/>
      <color theme="1"/>
      <name val="Arial"/>
      <family val="2"/>
    </font>
    <font>
      <sz val="8"/>
      <color theme="1"/>
      <name val="Arial Cyr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B0F0"/>
      <name val="Arial"/>
      <family val="2"/>
    </font>
    <font>
      <b/>
      <sz val="8"/>
      <color theme="9" tint="-0.4999699890613556"/>
      <name val="Arial"/>
      <family val="2"/>
    </font>
    <font>
      <b/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0"/>
      <color rgb="FFFF0000"/>
      <name val="Arial Cyr"/>
      <family val="2"/>
    </font>
    <font>
      <b/>
      <sz val="8"/>
      <color rgb="FF0070C0"/>
      <name val="Arial Cyr"/>
      <family val="2"/>
    </font>
    <font>
      <b/>
      <sz val="8"/>
      <color rgb="FF0070C0"/>
      <name val="Arial "/>
      <family val="0"/>
    </font>
    <font>
      <b/>
      <sz val="9"/>
      <color rgb="FF0070C0"/>
      <name val="Arial Cyr"/>
      <family val="2"/>
    </font>
    <font>
      <b/>
      <i/>
      <sz val="9"/>
      <color rgb="FFFF0000"/>
      <name val="Arial Cyr"/>
      <family val="0"/>
    </font>
    <font>
      <b/>
      <sz val="9"/>
      <color theme="9" tint="-0.4999699890613556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4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93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10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40" fillId="0" borderId="15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9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2" fontId="25" fillId="0" borderId="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2" fontId="95" fillId="0" borderId="0" xfId="0" applyNumberFormat="1" applyFont="1" applyFill="1" applyAlignment="1">
      <alignment/>
    </xf>
    <xf numFmtId="2" fontId="95" fillId="0" borderId="0" xfId="0" applyNumberFormat="1" applyFont="1" applyFill="1" applyBorder="1" applyAlignment="1">
      <alignment/>
    </xf>
    <xf numFmtId="0" fontId="95" fillId="0" borderId="0" xfId="0" applyFont="1" applyFill="1" applyAlignment="1">
      <alignment/>
    </xf>
    <xf numFmtId="0" fontId="10" fillId="0" borderId="19" xfId="0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33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2" fontId="9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4" fontId="9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17" fillId="0" borderId="23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2" fontId="40" fillId="0" borderId="15" xfId="0" applyNumberFormat="1" applyFont="1" applyFill="1" applyBorder="1" applyAlignment="1">
      <alignment/>
    </xf>
    <xf numFmtId="4" fontId="97" fillId="0" borderId="10" xfId="0" applyNumberFormat="1" applyFont="1" applyFill="1" applyBorder="1" applyAlignment="1">
      <alignment/>
    </xf>
    <xf numFmtId="4" fontId="97" fillId="0" borderId="10" xfId="0" applyNumberFormat="1" applyFont="1" applyFill="1" applyBorder="1" applyAlignment="1">
      <alignment/>
    </xf>
    <xf numFmtId="2" fontId="98" fillId="0" borderId="0" xfId="0" applyNumberFormat="1" applyFont="1" applyFill="1" applyBorder="1" applyAlignment="1">
      <alignment/>
    </xf>
    <xf numFmtId="4" fontId="99" fillId="0" borderId="14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/>
    </xf>
    <xf numFmtId="49" fontId="11" fillId="0" borderId="26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00" fillId="0" borderId="18" xfId="0" applyFont="1" applyFill="1" applyBorder="1" applyAlignment="1">
      <alignment/>
    </xf>
    <xf numFmtId="4" fontId="101" fillId="0" borderId="17" xfId="0" applyNumberFormat="1" applyFont="1" applyFill="1" applyBorder="1" applyAlignment="1">
      <alignment/>
    </xf>
    <xf numFmtId="0" fontId="100" fillId="0" borderId="27" xfId="0" applyFont="1" applyFill="1" applyBorder="1" applyAlignment="1">
      <alignment wrapText="1"/>
    </xf>
    <xf numFmtId="0" fontId="100" fillId="0" borderId="19" xfId="0" applyFont="1" applyFill="1" applyBorder="1" applyAlignment="1">
      <alignment wrapText="1"/>
    </xf>
    <xf numFmtId="4" fontId="101" fillId="0" borderId="28" xfId="0" applyNumberFormat="1" applyFont="1" applyFill="1" applyBorder="1" applyAlignment="1">
      <alignment/>
    </xf>
    <xf numFmtId="4" fontId="101" fillId="0" borderId="29" xfId="0" applyNumberFormat="1" applyFont="1" applyFill="1" applyBorder="1" applyAlignment="1">
      <alignment/>
    </xf>
    <xf numFmtId="4" fontId="101" fillId="0" borderId="16" xfId="0" applyNumberFormat="1" applyFont="1" applyFill="1" applyBorder="1" applyAlignment="1">
      <alignment/>
    </xf>
    <xf numFmtId="4" fontId="101" fillId="0" borderId="10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12" fillId="0" borderId="0" xfId="54" applyNumberFormat="1" applyFont="1" applyFill="1" applyBorder="1" applyAlignment="1">
      <alignment horizontal="left" vertical="top" wrapText="1"/>
      <protection/>
    </xf>
    <xf numFmtId="4" fontId="12" fillId="0" borderId="0" xfId="54" applyNumberFormat="1" applyFont="1" applyFill="1" applyBorder="1" applyAlignment="1">
      <alignment horizontal="right" vertical="top" wrapText="1"/>
      <protection/>
    </xf>
    <xf numFmtId="2" fontId="12" fillId="0" borderId="0" xfId="54" applyNumberFormat="1" applyFont="1" applyFill="1" applyBorder="1" applyAlignment="1">
      <alignment horizontal="right" vertical="top" wrapText="1"/>
      <protection/>
    </xf>
    <xf numFmtId="172" fontId="11" fillId="0" borderId="30" xfId="0" applyNumberFormat="1" applyFont="1" applyFill="1" applyBorder="1" applyAlignment="1">
      <alignment/>
    </xf>
    <xf numFmtId="172" fontId="102" fillId="0" borderId="30" xfId="0" applyNumberFormat="1" applyFont="1" applyFill="1" applyBorder="1" applyAlignment="1">
      <alignment/>
    </xf>
    <xf numFmtId="0" fontId="42" fillId="33" borderId="31" xfId="53" applyNumberFormat="1" applyFont="1" applyFill="1" applyBorder="1" applyAlignment="1">
      <alignment horizontal="left" vertical="top" wrapText="1"/>
      <protection/>
    </xf>
    <xf numFmtId="0" fontId="11" fillId="0" borderId="0" xfId="53">
      <alignment/>
      <protection/>
    </xf>
    <xf numFmtId="172" fontId="42" fillId="33" borderId="31" xfId="53" applyNumberFormat="1" applyFont="1" applyFill="1" applyBorder="1" applyAlignment="1">
      <alignment horizontal="right" vertical="top" wrapText="1"/>
      <protection/>
    </xf>
    <xf numFmtId="4" fontId="42" fillId="33" borderId="31" xfId="53" applyNumberFormat="1" applyFont="1" applyFill="1" applyBorder="1" applyAlignment="1">
      <alignment horizontal="right" vertical="top" wrapText="1"/>
      <protection/>
    </xf>
    <xf numFmtId="2" fontId="42" fillId="33" borderId="31" xfId="53" applyNumberFormat="1" applyFont="1" applyFill="1" applyBorder="1" applyAlignment="1">
      <alignment horizontal="right" vertical="top" wrapText="1"/>
      <protection/>
    </xf>
    <xf numFmtId="0" fontId="12" fillId="33" borderId="31" xfId="53" applyNumberFormat="1" applyFont="1" applyFill="1" applyBorder="1" applyAlignment="1">
      <alignment horizontal="left" vertical="top" wrapText="1"/>
      <protection/>
    </xf>
    <xf numFmtId="172" fontId="12" fillId="33" borderId="31" xfId="53" applyNumberFormat="1" applyFont="1" applyFill="1" applyBorder="1" applyAlignment="1">
      <alignment horizontal="right" vertical="top" wrapText="1"/>
      <protection/>
    </xf>
    <xf numFmtId="4" fontId="12" fillId="33" borderId="31" xfId="53" applyNumberFormat="1" applyFont="1" applyFill="1" applyBorder="1" applyAlignment="1">
      <alignment horizontal="right" vertical="top" wrapText="1"/>
      <protection/>
    </xf>
    <xf numFmtId="2" fontId="12" fillId="33" borderId="31" xfId="53" applyNumberFormat="1" applyFont="1" applyFill="1" applyBorder="1" applyAlignment="1">
      <alignment horizontal="right" vertical="top" wrapText="1"/>
      <protection/>
    </xf>
    <xf numFmtId="175" fontId="42" fillId="33" borderId="31" xfId="53" applyNumberFormat="1" applyFont="1" applyFill="1" applyBorder="1" applyAlignment="1">
      <alignment horizontal="right" vertical="top" wrapText="1"/>
      <protection/>
    </xf>
    <xf numFmtId="175" fontId="12" fillId="33" borderId="31" xfId="53" applyNumberFormat="1" applyFont="1" applyFill="1" applyBorder="1" applyAlignment="1">
      <alignment horizontal="right" vertical="top" wrapText="1"/>
      <protection/>
    </xf>
    <xf numFmtId="4" fontId="10" fillId="0" borderId="25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21" fillId="0" borderId="28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2" fontId="18" fillId="0" borderId="10" xfId="0" applyNumberFormat="1" applyFont="1" applyFill="1" applyBorder="1" applyAlignment="1">
      <alignment/>
    </xf>
    <xf numFmtId="172" fontId="17" fillId="0" borderId="14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172" fontId="18" fillId="0" borderId="12" xfId="0" applyNumberFormat="1" applyFont="1" applyFill="1" applyBorder="1" applyAlignment="1">
      <alignment/>
    </xf>
    <xf numFmtId="172" fontId="17" fillId="0" borderId="40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12" fillId="0" borderId="41" xfId="0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172" fontId="13" fillId="0" borderId="41" xfId="0" applyNumberFormat="1" applyFont="1" applyFill="1" applyBorder="1" applyAlignment="1">
      <alignment/>
    </xf>
    <xf numFmtId="4" fontId="12" fillId="0" borderId="41" xfId="0" applyNumberFormat="1" applyFont="1" applyFill="1" applyBorder="1" applyAlignment="1">
      <alignment/>
    </xf>
    <xf numFmtId="49" fontId="26" fillId="0" borderId="20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/>
    </xf>
    <xf numFmtId="3" fontId="18" fillId="0" borderId="21" xfId="0" applyNumberFormat="1" applyFont="1" applyFill="1" applyBorder="1" applyAlignment="1">
      <alignment wrapText="1"/>
    </xf>
    <xf numFmtId="172" fontId="17" fillId="0" borderId="21" xfId="0" applyNumberFormat="1" applyFont="1" applyFill="1" applyBorder="1" applyAlignment="1">
      <alignment/>
    </xf>
    <xf numFmtId="4" fontId="18" fillId="0" borderId="42" xfId="0" applyNumberFormat="1" applyFont="1" applyFill="1" applyBorder="1" applyAlignment="1">
      <alignment/>
    </xf>
    <xf numFmtId="4" fontId="18" fillId="0" borderId="43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/>
    </xf>
    <xf numFmtId="4" fontId="13" fillId="0" borderId="44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172" fontId="17" fillId="0" borderId="25" xfId="0" applyNumberFormat="1" applyFont="1" applyFill="1" applyBorder="1" applyAlignment="1">
      <alignment/>
    </xf>
    <xf numFmtId="4" fontId="17" fillId="0" borderId="25" xfId="0" applyNumberFormat="1" applyFont="1" applyFill="1" applyBorder="1" applyAlignment="1">
      <alignment/>
    </xf>
    <xf numFmtId="4" fontId="17" fillId="0" borderId="32" xfId="0" applyNumberFormat="1" applyFont="1" applyFill="1" applyBorder="1" applyAlignment="1">
      <alignment/>
    </xf>
    <xf numFmtId="172" fontId="17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49" fontId="11" fillId="0" borderId="49" xfId="0" applyNumberFormat="1" applyFont="1" applyFill="1" applyBorder="1" applyAlignment="1">
      <alignment horizontal="center"/>
    </xf>
    <xf numFmtId="172" fontId="17" fillId="0" borderId="16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2" fontId="3" fillId="0" borderId="50" xfId="0" applyNumberFormat="1" applyFont="1" applyFill="1" applyBorder="1" applyAlignment="1">
      <alignment/>
    </xf>
    <xf numFmtId="49" fontId="11" fillId="0" borderId="51" xfId="0" applyNumberFormat="1" applyFont="1" applyFill="1" applyBorder="1" applyAlignment="1">
      <alignment horizontal="center"/>
    </xf>
    <xf numFmtId="172" fontId="17" fillId="0" borderId="52" xfId="0" applyNumberFormat="1" applyFont="1" applyFill="1" applyBorder="1" applyAlignment="1">
      <alignment/>
    </xf>
    <xf numFmtId="4" fontId="18" fillId="0" borderId="53" xfId="0" applyNumberFormat="1" applyFont="1" applyFill="1" applyBorder="1" applyAlignment="1">
      <alignment/>
    </xf>
    <xf numFmtId="4" fontId="17" fillId="0" borderId="53" xfId="0" applyNumberFormat="1" applyFont="1" applyFill="1" applyBorder="1" applyAlignment="1">
      <alignment/>
    </xf>
    <xf numFmtId="4" fontId="18" fillId="0" borderId="53" xfId="0" applyNumberFormat="1" applyFont="1" applyFill="1" applyBorder="1" applyAlignment="1">
      <alignment/>
    </xf>
    <xf numFmtId="4" fontId="17" fillId="0" borderId="39" xfId="0" applyNumberFormat="1" applyFont="1" applyFill="1" applyBorder="1" applyAlignment="1">
      <alignment/>
    </xf>
    <xf numFmtId="49" fontId="11" fillId="0" borderId="45" xfId="0" applyNumberFormat="1" applyFont="1" applyFill="1" applyBorder="1" applyAlignment="1">
      <alignment horizontal="center"/>
    </xf>
    <xf numFmtId="172" fontId="18" fillId="0" borderId="46" xfId="0" applyNumberFormat="1" applyFont="1" applyFill="1" applyBorder="1" applyAlignment="1">
      <alignment/>
    </xf>
    <xf numFmtId="4" fontId="17" fillId="0" borderId="21" xfId="0" applyNumberFormat="1" applyFont="1" applyFill="1" applyBorder="1" applyAlignment="1">
      <alignment/>
    </xf>
    <xf numFmtId="4" fontId="17" fillId="0" borderId="42" xfId="0" applyNumberFormat="1" applyFont="1" applyFill="1" applyBorder="1" applyAlignment="1">
      <alignment/>
    </xf>
    <xf numFmtId="172" fontId="16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172" fontId="11" fillId="0" borderId="41" xfId="0" applyNumberFormat="1" applyFont="1" applyFill="1" applyBorder="1" applyAlignment="1">
      <alignment/>
    </xf>
    <xf numFmtId="0" fontId="11" fillId="0" borderId="41" xfId="0" applyFont="1" applyFill="1" applyBorder="1" applyAlignment="1">
      <alignment/>
    </xf>
    <xf numFmtId="4" fontId="11" fillId="0" borderId="4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91" fontId="9" fillId="0" borderId="0" xfId="54" applyNumberFormat="1" applyFont="1" applyFill="1" applyBorder="1" applyAlignment="1">
      <alignment horizontal="right" vertical="top" wrapText="1"/>
      <protection/>
    </xf>
    <xf numFmtId="19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10" fillId="0" borderId="27" xfId="0" applyFont="1" applyFill="1" applyBorder="1" applyAlignment="1">
      <alignment wrapText="1"/>
    </xf>
    <xf numFmtId="4" fontId="10" fillId="0" borderId="17" xfId="0" applyNumberFormat="1" applyFont="1" applyFill="1" applyBorder="1" applyAlignment="1">
      <alignment/>
    </xf>
    <xf numFmtId="0" fontId="10" fillId="0" borderId="54" xfId="0" applyFont="1" applyFill="1" applyBorder="1" applyAlignment="1">
      <alignment wrapText="1"/>
    </xf>
    <xf numFmtId="4" fontId="10" fillId="0" borderId="5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 vertical="center" wrapText="1"/>
    </xf>
    <xf numFmtId="0" fontId="97" fillId="0" borderId="17" xfId="0" applyFont="1" applyFill="1" applyBorder="1" applyAlignment="1">
      <alignment/>
    </xf>
    <xf numFmtId="0" fontId="97" fillId="0" borderId="17" xfId="0" applyFont="1" applyFill="1" applyBorder="1" applyAlignment="1">
      <alignment horizontal="center" wrapText="1"/>
    </xf>
    <xf numFmtId="172" fontId="103" fillId="0" borderId="41" xfId="0" applyNumberFormat="1" applyFont="1" applyFill="1" applyBorder="1" applyAlignment="1">
      <alignment/>
    </xf>
    <xf numFmtId="4" fontId="103" fillId="0" borderId="41" xfId="0" applyNumberFormat="1" applyFont="1" applyFill="1" applyBorder="1" applyAlignment="1">
      <alignment/>
    </xf>
    <xf numFmtId="4" fontId="103" fillId="0" borderId="4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172" fontId="3" fillId="0" borderId="37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172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/>
    </xf>
    <xf numFmtId="2" fontId="10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3" fillId="0" borderId="56" xfId="0" applyNumberFormat="1" applyFont="1" applyFill="1" applyBorder="1" applyAlignment="1">
      <alignment horizontal="center"/>
    </xf>
    <xf numFmtId="4" fontId="3" fillId="0" borderId="57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" fontId="18" fillId="0" borderId="48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 horizontal="center"/>
    </xf>
    <xf numFmtId="4" fontId="12" fillId="0" borderId="48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9" fontId="26" fillId="0" borderId="26" xfId="0" applyNumberFormat="1" applyFont="1" applyFill="1" applyBorder="1" applyAlignment="1">
      <alignment horizontal="center"/>
    </xf>
    <xf numFmtId="49" fontId="19" fillId="0" borderId="58" xfId="0" applyNumberFormat="1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/>
    </xf>
    <xf numFmtId="49" fontId="11" fillId="0" borderId="60" xfId="0" applyNumberFormat="1" applyFont="1" applyFill="1" applyBorder="1" applyAlignment="1">
      <alignment horizontal="center"/>
    </xf>
    <xf numFmtId="4" fontId="40" fillId="0" borderId="57" xfId="0" applyNumberFormat="1" applyFont="1" applyFill="1" applyBorder="1" applyAlignment="1">
      <alignment/>
    </xf>
    <xf numFmtId="49" fontId="11" fillId="0" borderId="61" xfId="0" applyNumberFormat="1" applyFont="1" applyFill="1" applyBorder="1" applyAlignment="1">
      <alignment horizontal="center"/>
    </xf>
    <xf numFmtId="4" fontId="97" fillId="0" borderId="33" xfId="0" applyNumberFormat="1" applyFont="1" applyFill="1" applyBorder="1" applyAlignment="1">
      <alignment/>
    </xf>
    <xf numFmtId="49" fontId="3" fillId="0" borderId="62" xfId="0" applyNumberFormat="1" applyFont="1" applyFill="1" applyBorder="1" applyAlignment="1">
      <alignment horizontal="center"/>
    </xf>
    <xf numFmtId="4" fontId="3" fillId="0" borderId="63" xfId="0" applyNumberFormat="1" applyFont="1" applyFill="1" applyBorder="1" applyAlignment="1">
      <alignment/>
    </xf>
    <xf numFmtId="4" fontId="16" fillId="0" borderId="33" xfId="0" applyNumberFormat="1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/>
    </xf>
    <xf numFmtId="4" fontId="22" fillId="0" borderId="48" xfId="0" applyNumberFormat="1" applyFont="1" applyFill="1" applyBorder="1" applyAlignment="1">
      <alignment/>
    </xf>
    <xf numFmtId="4" fontId="103" fillId="0" borderId="59" xfId="0" applyNumberFormat="1" applyFont="1" applyFill="1" applyBorder="1" applyAlignment="1">
      <alignment/>
    </xf>
    <xf numFmtId="49" fontId="3" fillId="0" borderId="58" xfId="0" applyNumberFormat="1" applyFont="1" applyFill="1" applyBorder="1" applyAlignment="1">
      <alignment horizontal="center"/>
    </xf>
    <xf numFmtId="4" fontId="11" fillId="0" borderId="59" xfId="0" applyNumberFormat="1" applyFont="1" applyFill="1" applyBorder="1" applyAlignment="1">
      <alignment/>
    </xf>
    <xf numFmtId="49" fontId="3" fillId="0" borderId="61" xfId="0" applyNumberFormat="1" applyFont="1" applyFill="1" applyBorder="1" applyAlignment="1">
      <alignment horizontal="center"/>
    </xf>
    <xf numFmtId="4" fontId="11" fillId="0" borderId="5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3" fillId="0" borderId="49" xfId="0" applyNumberFormat="1" applyFont="1" applyFill="1" applyBorder="1" applyAlignment="1">
      <alignment horizontal="center"/>
    </xf>
    <xf numFmtId="172" fontId="105" fillId="0" borderId="17" xfId="0" applyNumberFormat="1" applyFont="1" applyFill="1" applyBorder="1" applyAlignment="1">
      <alignment/>
    </xf>
    <xf numFmtId="4" fontId="105" fillId="0" borderId="17" xfId="0" applyNumberFormat="1" applyFont="1" applyFill="1" applyBorder="1" applyAlignment="1">
      <alignment/>
    </xf>
    <xf numFmtId="4" fontId="105" fillId="0" borderId="17" xfId="0" applyNumberFormat="1" applyFont="1" applyFill="1" applyBorder="1" applyAlignment="1">
      <alignment/>
    </xf>
    <xf numFmtId="4" fontId="105" fillId="0" borderId="50" xfId="0" applyNumberFormat="1" applyFont="1" applyFill="1" applyBorder="1" applyAlignment="1">
      <alignment/>
    </xf>
    <xf numFmtId="49" fontId="3" fillId="0" borderId="64" xfId="0" applyNumberFormat="1" applyFont="1" applyFill="1" applyBorder="1" applyAlignment="1">
      <alignment horizontal="center"/>
    </xf>
    <xf numFmtId="172" fontId="3" fillId="0" borderId="65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4" fontId="3" fillId="0" borderId="66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23" fillId="0" borderId="0" xfId="0" applyNumberFormat="1" applyFont="1" applyFill="1" applyBorder="1" applyAlignment="1">
      <alignment/>
    </xf>
    <xf numFmtId="49" fontId="11" fillId="0" borderId="67" xfId="0" applyNumberFormat="1" applyFont="1" applyFill="1" applyBorder="1" applyAlignment="1">
      <alignment horizontal="center"/>
    </xf>
    <xf numFmtId="172" fontId="12" fillId="0" borderId="68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49" fontId="11" fillId="0" borderId="69" xfId="0" applyNumberFormat="1" applyFont="1" applyFill="1" applyBorder="1" applyAlignment="1">
      <alignment horizontal="center"/>
    </xf>
    <xf numFmtId="172" fontId="12" fillId="0" borderId="70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4" fontId="22" fillId="0" borderId="59" xfId="0" applyNumberFormat="1" applyFont="1" applyFill="1" applyBorder="1" applyAlignment="1">
      <alignment/>
    </xf>
    <xf numFmtId="172" fontId="102" fillId="0" borderId="41" xfId="0" applyNumberFormat="1" applyFont="1" applyFill="1" applyBorder="1" applyAlignment="1">
      <alignment/>
    </xf>
    <xf numFmtId="172" fontId="106" fillId="0" borderId="41" xfId="0" applyNumberFormat="1" applyFont="1" applyFill="1" applyBorder="1" applyAlignment="1">
      <alignment/>
    </xf>
    <xf numFmtId="4" fontId="106" fillId="0" borderId="41" xfId="0" applyNumberFormat="1" applyFont="1" applyFill="1" applyBorder="1" applyAlignment="1">
      <alignment/>
    </xf>
    <xf numFmtId="4" fontId="106" fillId="0" borderId="59" xfId="0" applyNumberFormat="1" applyFont="1" applyFill="1" applyBorder="1" applyAlignment="1">
      <alignment/>
    </xf>
    <xf numFmtId="4" fontId="103" fillId="0" borderId="17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172" fontId="16" fillId="0" borderId="21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right"/>
    </xf>
    <xf numFmtId="4" fontId="16" fillId="0" borderId="42" xfId="0" applyNumberFormat="1" applyFont="1" applyFill="1" applyBorder="1" applyAlignment="1">
      <alignment horizontal="right"/>
    </xf>
    <xf numFmtId="172" fontId="103" fillId="0" borderId="17" xfId="0" applyNumberFormat="1" applyFont="1" applyFill="1" applyBorder="1" applyAlignment="1">
      <alignment/>
    </xf>
    <xf numFmtId="4" fontId="103" fillId="0" borderId="50" xfId="0" applyNumberFormat="1" applyFont="1" applyFill="1" applyBorder="1" applyAlignment="1">
      <alignment/>
    </xf>
    <xf numFmtId="3" fontId="106" fillId="0" borderId="12" xfId="0" applyNumberFormat="1" applyFont="1" applyFill="1" applyBorder="1" applyAlignment="1">
      <alignment/>
    </xf>
    <xf numFmtId="4" fontId="106" fillId="0" borderId="12" xfId="0" applyNumberFormat="1" applyFont="1" applyFill="1" applyBorder="1" applyAlignment="1">
      <alignment/>
    </xf>
    <xf numFmtId="4" fontId="106" fillId="0" borderId="23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103" fillId="0" borderId="17" xfId="0" applyNumberFormat="1" applyFont="1" applyFill="1" applyBorder="1" applyAlignment="1">
      <alignment/>
    </xf>
    <xf numFmtId="49" fontId="3" fillId="0" borderId="71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72" fontId="106" fillId="0" borderId="12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11" fillId="0" borderId="27" xfId="0" applyFont="1" applyFill="1" applyBorder="1" applyAlignment="1">
      <alignment wrapText="1"/>
    </xf>
    <xf numFmtId="4" fontId="10" fillId="0" borderId="28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0" fontId="3" fillId="0" borderId="72" xfId="0" applyFont="1" applyFill="1" applyBorder="1" applyAlignment="1">
      <alignment/>
    </xf>
    <xf numFmtId="172" fontId="3" fillId="0" borderId="52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73" xfId="0" applyNumberFormat="1" applyFont="1" applyFill="1" applyBorder="1" applyAlignment="1">
      <alignment/>
    </xf>
    <xf numFmtId="49" fontId="3" fillId="0" borderId="74" xfId="0" applyNumberFormat="1" applyFont="1" applyFill="1" applyBorder="1" applyAlignment="1">
      <alignment horizontal="center"/>
    </xf>
    <xf numFmtId="4" fontId="98" fillId="0" borderId="0" xfId="0" applyNumberFormat="1" applyFont="1" applyFill="1" applyBorder="1" applyAlignment="1">
      <alignment/>
    </xf>
    <xf numFmtId="4" fontId="22" fillId="0" borderId="70" xfId="0" applyNumberFormat="1" applyFont="1" applyFill="1" applyBorder="1" applyAlignment="1">
      <alignment/>
    </xf>
    <xf numFmtId="172" fontId="106" fillId="0" borderId="13" xfId="0" applyNumberFormat="1" applyFont="1" applyFill="1" applyBorder="1" applyAlignment="1">
      <alignment/>
    </xf>
    <xf numFmtId="4" fontId="106" fillId="0" borderId="13" xfId="0" applyNumberFormat="1" applyFont="1" applyFill="1" applyBorder="1" applyAlignment="1">
      <alignment/>
    </xf>
    <xf numFmtId="172" fontId="102" fillId="0" borderId="17" xfId="0" applyNumberFormat="1" applyFont="1" applyBorder="1" applyAlignment="1">
      <alignment horizontal="center" vertical="center"/>
    </xf>
    <xf numFmtId="4" fontId="22" fillId="0" borderId="17" xfId="0" applyNumberFormat="1" applyFont="1" applyFill="1" applyBorder="1" applyAlignment="1">
      <alignment/>
    </xf>
    <xf numFmtId="172" fontId="106" fillId="0" borderId="75" xfId="0" applyNumberFormat="1" applyFont="1" applyFill="1" applyBorder="1" applyAlignment="1">
      <alignment/>
    </xf>
    <xf numFmtId="4" fontId="103" fillId="0" borderId="75" xfId="0" applyNumberFormat="1" applyFont="1" applyFill="1" applyBorder="1" applyAlignment="1">
      <alignment/>
    </xf>
    <xf numFmtId="4" fontId="106" fillId="0" borderId="76" xfId="0" applyNumberFormat="1" applyFont="1" applyFill="1" applyBorder="1" applyAlignment="1">
      <alignment/>
    </xf>
    <xf numFmtId="4" fontId="103" fillId="0" borderId="76" xfId="0" applyNumberFormat="1" applyFont="1" applyFill="1" applyBorder="1" applyAlignment="1">
      <alignment/>
    </xf>
    <xf numFmtId="4" fontId="103" fillId="0" borderId="13" xfId="0" applyNumberFormat="1" applyFont="1" applyFill="1" applyBorder="1" applyAlignment="1">
      <alignment/>
    </xf>
    <xf numFmtId="4" fontId="106" fillId="0" borderId="17" xfId="0" applyNumberFormat="1" applyFont="1" applyFill="1" applyBorder="1" applyAlignment="1">
      <alignment/>
    </xf>
    <xf numFmtId="172" fontId="107" fillId="0" borderId="30" xfId="0" applyNumberFormat="1" applyFont="1" applyFill="1" applyBorder="1" applyAlignment="1">
      <alignment/>
    </xf>
    <xf numFmtId="49" fontId="3" fillId="0" borderId="77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/>
    </xf>
    <xf numFmtId="4" fontId="18" fillId="0" borderId="33" xfId="0" applyNumberFormat="1" applyFont="1" applyFill="1" applyBorder="1" applyAlignment="1">
      <alignment/>
    </xf>
    <xf numFmtId="49" fontId="19" fillId="0" borderId="6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63" xfId="0" applyNumberFormat="1" applyFont="1" applyFill="1" applyBorder="1" applyAlignment="1">
      <alignment/>
    </xf>
    <xf numFmtId="49" fontId="19" fillId="0" borderId="78" xfId="0" applyNumberFormat="1" applyFont="1" applyFill="1" applyBorder="1" applyAlignment="1">
      <alignment horizontal="center"/>
    </xf>
    <xf numFmtId="172" fontId="12" fillId="0" borderId="53" xfId="0" applyNumberFormat="1" applyFont="1" applyFill="1" applyBorder="1" applyAlignment="1">
      <alignment/>
    </xf>
    <xf numFmtId="4" fontId="12" fillId="0" borderId="53" xfId="0" applyNumberFormat="1" applyFont="1" applyFill="1" applyBorder="1" applyAlignment="1">
      <alignment/>
    </xf>
    <xf numFmtId="4" fontId="12" fillId="0" borderId="79" xfId="0" applyNumberFormat="1" applyFont="1" applyFill="1" applyBorder="1" applyAlignment="1">
      <alignment/>
    </xf>
    <xf numFmtId="172" fontId="11" fillId="0" borderId="80" xfId="0" applyNumberFormat="1" applyFont="1" applyFill="1" applyBorder="1" applyAlignment="1">
      <alignment/>
    </xf>
    <xf numFmtId="172" fontId="18" fillId="0" borderId="44" xfId="0" applyNumberFormat="1" applyFont="1" applyFill="1" applyBorder="1" applyAlignment="1">
      <alignment/>
    </xf>
    <xf numFmtId="49" fontId="3" fillId="0" borderId="67" xfId="0" applyNumberFormat="1" applyFont="1" applyFill="1" applyBorder="1" applyAlignment="1">
      <alignment horizontal="center"/>
    </xf>
    <xf numFmtId="172" fontId="3" fillId="0" borderId="81" xfId="0" applyNumberFormat="1" applyFont="1" applyFill="1" applyBorder="1" applyAlignment="1">
      <alignment/>
    </xf>
    <xf numFmtId="4" fontId="3" fillId="0" borderId="82" xfId="0" applyNumberFormat="1" applyFont="1" applyFill="1" applyBorder="1" applyAlignment="1">
      <alignment/>
    </xf>
    <xf numFmtId="4" fontId="3" fillId="0" borderId="83" xfId="0" applyNumberFormat="1" applyFont="1" applyFill="1" applyBorder="1" applyAlignment="1">
      <alignment/>
    </xf>
    <xf numFmtId="172" fontId="10" fillId="0" borderId="53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/>
    </xf>
    <xf numFmtId="172" fontId="17" fillId="0" borderId="29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172" fontId="17" fillId="0" borderId="34" xfId="0" applyNumberFormat="1" applyFont="1" applyFill="1" applyBorder="1" applyAlignment="1">
      <alignment/>
    </xf>
    <xf numFmtId="172" fontId="17" fillId="0" borderId="17" xfId="0" applyNumberFormat="1" applyFont="1" applyFill="1" applyBorder="1" applyAlignment="1">
      <alignment/>
    </xf>
    <xf numFmtId="3" fontId="106" fillId="0" borderId="0" xfId="0" applyNumberFormat="1" applyFont="1" applyFill="1" applyBorder="1" applyAlignment="1">
      <alignment/>
    </xf>
    <xf numFmtId="4" fontId="106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center" wrapText="1"/>
    </xf>
    <xf numFmtId="172" fontId="106" fillId="0" borderId="0" xfId="0" applyNumberFormat="1" applyFont="1" applyFill="1" applyBorder="1" applyAlignment="1">
      <alignment/>
    </xf>
    <xf numFmtId="172" fontId="100" fillId="0" borderId="30" xfId="0" applyNumberFormat="1" applyFont="1" applyFill="1" applyBorder="1" applyAlignment="1">
      <alignment/>
    </xf>
    <xf numFmtId="4" fontId="101" fillId="0" borderId="14" xfId="0" applyNumberFormat="1" applyFont="1" applyFill="1" applyBorder="1" applyAlignment="1">
      <alignment/>
    </xf>
    <xf numFmtId="4" fontId="101" fillId="0" borderId="10" xfId="0" applyNumberFormat="1" applyFont="1" applyFill="1" applyBorder="1" applyAlignment="1">
      <alignment/>
    </xf>
    <xf numFmtId="4" fontId="101" fillId="0" borderId="33" xfId="0" applyNumberFormat="1" applyFont="1" applyFill="1" applyBorder="1" applyAlignment="1">
      <alignment/>
    </xf>
    <xf numFmtId="49" fontId="3" fillId="0" borderId="84" xfId="0" applyNumberFormat="1" applyFont="1" applyFill="1" applyBorder="1" applyAlignment="1">
      <alignment horizontal="center"/>
    </xf>
    <xf numFmtId="172" fontId="21" fillId="0" borderId="34" xfId="0" applyNumberFormat="1" applyFont="1" applyFill="1" applyBorder="1" applyAlignment="1">
      <alignment horizontal="right"/>
    </xf>
    <xf numFmtId="0" fontId="21" fillId="0" borderId="34" xfId="0" applyFont="1" applyFill="1" applyBorder="1" applyAlignment="1">
      <alignment horizontal="center"/>
    </xf>
    <xf numFmtId="4" fontId="21" fillId="0" borderId="34" xfId="0" applyNumberFormat="1" applyFont="1" applyFill="1" applyBorder="1" applyAlignment="1">
      <alignment horizontal="right"/>
    </xf>
    <xf numFmtId="172" fontId="43" fillId="0" borderId="34" xfId="0" applyNumberFormat="1" applyFont="1" applyFill="1" applyBorder="1" applyAlignment="1">
      <alignment horizontal="right"/>
    </xf>
    <xf numFmtId="0" fontId="43" fillId="0" borderId="34" xfId="0" applyFont="1" applyFill="1" applyBorder="1" applyAlignment="1">
      <alignment horizontal="center"/>
    </xf>
    <xf numFmtId="4" fontId="43" fillId="0" borderId="34" xfId="0" applyNumberFormat="1" applyFont="1" applyFill="1" applyBorder="1" applyAlignment="1">
      <alignment horizontal="right"/>
    </xf>
    <xf numFmtId="49" fontId="11" fillId="0" borderId="84" xfId="0" applyNumberFormat="1" applyFont="1" applyFill="1" applyBorder="1" applyAlignment="1">
      <alignment horizontal="center"/>
    </xf>
    <xf numFmtId="172" fontId="12" fillId="0" borderId="48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4" fontId="10" fillId="0" borderId="17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0" fontId="10" fillId="0" borderId="85" xfId="0" applyFont="1" applyFill="1" applyBorder="1" applyAlignment="1">
      <alignment wrapText="1"/>
    </xf>
    <xf numFmtId="0" fontId="97" fillId="0" borderId="17" xfId="0" applyFont="1" applyFill="1" applyBorder="1" applyAlignment="1">
      <alignment/>
    </xf>
    <xf numFmtId="0" fontId="97" fillId="0" borderId="17" xfId="0" applyFont="1" applyFill="1" applyBorder="1" applyAlignment="1">
      <alignment horizontal="center" wrapText="1"/>
    </xf>
    <xf numFmtId="0" fontId="10" fillId="0" borderId="86" xfId="0" applyFont="1" applyFill="1" applyBorder="1" applyAlignment="1">
      <alignment vertical="center" wrapText="1"/>
    </xf>
    <xf numFmtId="0" fontId="10" fillId="0" borderId="87" xfId="0" applyFont="1" applyFill="1" applyBorder="1" applyAlignment="1">
      <alignment wrapText="1"/>
    </xf>
    <xf numFmtId="0" fontId="10" fillId="0" borderId="17" xfId="0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/>
    </xf>
    <xf numFmtId="0" fontId="10" fillId="0" borderId="65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9" fillId="0" borderId="75" xfId="0" applyFont="1" applyFill="1" applyBorder="1" applyAlignment="1">
      <alignment horizontal="center" wrapText="1"/>
    </xf>
    <xf numFmtId="0" fontId="109" fillId="0" borderId="70" xfId="0" applyFont="1" applyFill="1" applyBorder="1" applyAlignment="1">
      <alignment horizontal="center" wrapText="1"/>
    </xf>
    <xf numFmtId="0" fontId="109" fillId="0" borderId="17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88" xfId="0" applyFont="1" applyFill="1" applyBorder="1" applyAlignment="1">
      <alignment horizontal="center" wrapText="1"/>
    </xf>
    <xf numFmtId="0" fontId="21" fillId="0" borderId="68" xfId="0" applyFont="1" applyFill="1" applyBorder="1" applyAlignment="1">
      <alignment horizontal="center" wrapText="1"/>
    </xf>
    <xf numFmtId="0" fontId="108" fillId="0" borderId="12" xfId="0" applyFont="1" applyFill="1" applyBorder="1" applyAlignment="1">
      <alignment horizontal="center" wrapText="1"/>
    </xf>
    <xf numFmtId="0" fontId="106" fillId="0" borderId="29" xfId="0" applyFont="1" applyFill="1" applyBorder="1" applyAlignment="1">
      <alignment horizontal="center" wrapText="1"/>
    </xf>
    <xf numFmtId="0" fontId="106" fillId="0" borderId="16" xfId="0" applyFont="1" applyFill="1" applyBorder="1" applyAlignment="1">
      <alignment horizontal="center" wrapText="1"/>
    </xf>
    <xf numFmtId="0" fontId="110" fillId="0" borderId="29" xfId="0" applyFont="1" applyFill="1" applyBorder="1" applyAlignment="1">
      <alignment horizontal="center" wrapText="1"/>
    </xf>
    <xf numFmtId="0" fontId="110" fillId="0" borderId="16" xfId="0" applyFont="1" applyFill="1" applyBorder="1" applyAlignment="1">
      <alignment horizontal="center" wrapText="1"/>
    </xf>
    <xf numFmtId="0" fontId="103" fillId="0" borderId="75" xfId="0" applyFont="1" applyFill="1" applyBorder="1" applyAlignment="1">
      <alignment horizontal="center" wrapText="1"/>
    </xf>
    <xf numFmtId="0" fontId="103" fillId="0" borderId="70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31" fillId="0" borderId="86" xfId="0" applyFont="1" applyFill="1" applyBorder="1" applyAlignment="1">
      <alignment horizontal="center"/>
    </xf>
    <xf numFmtId="49" fontId="11" fillId="0" borderId="90" xfId="0" applyNumberFormat="1" applyFont="1" applyFill="1" applyBorder="1" applyAlignment="1">
      <alignment horizontal="center"/>
    </xf>
    <xf numFmtId="49" fontId="11" fillId="0" borderId="91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97" fillId="0" borderId="55" xfId="0" applyFont="1" applyFill="1" applyBorder="1" applyAlignment="1">
      <alignment horizontal="center" vertical="center" wrapText="1"/>
    </xf>
    <xf numFmtId="0" fontId="97" fillId="0" borderId="89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26" fillId="0" borderId="98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/>
    </xf>
    <xf numFmtId="0" fontId="97" fillId="0" borderId="17" xfId="0" applyFont="1" applyFill="1" applyBorder="1" applyAlignment="1">
      <alignment horizontal="center" wrapText="1"/>
    </xf>
    <xf numFmtId="49" fontId="11" fillId="0" borderId="90" xfId="0" applyNumberFormat="1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>
      <alignment horizontal="center" vertical="center"/>
    </xf>
    <xf numFmtId="49" fontId="11" fillId="0" borderId="6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1" fillId="0" borderId="55" xfId="0" applyFont="1" applyFill="1" applyBorder="1" applyAlignment="1">
      <alignment horizontal="center"/>
    </xf>
    <xf numFmtId="0" fontId="101" fillId="0" borderId="89" xfId="0" applyFont="1" applyFill="1" applyBorder="1" applyAlignment="1">
      <alignment horizontal="center"/>
    </xf>
    <xf numFmtId="0" fontId="101" fillId="0" borderId="101" xfId="0" applyFont="1" applyFill="1" applyBorder="1" applyAlignment="1">
      <alignment horizontal="center"/>
    </xf>
    <xf numFmtId="0" fontId="101" fillId="0" borderId="55" xfId="0" applyFont="1" applyFill="1" applyBorder="1" applyAlignment="1">
      <alignment horizontal="center" wrapText="1"/>
    </xf>
    <xf numFmtId="0" fontId="101" fillId="0" borderId="89" xfId="0" applyFont="1" applyFill="1" applyBorder="1" applyAlignment="1">
      <alignment horizontal="center" wrapText="1"/>
    </xf>
    <xf numFmtId="0" fontId="101" fillId="0" borderId="15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0" fontId="101" fillId="0" borderId="15" xfId="0" applyFont="1" applyFill="1" applyBorder="1" applyAlignment="1">
      <alignment horizontal="center"/>
    </xf>
    <xf numFmtId="0" fontId="97" fillId="0" borderId="55" xfId="0" applyFont="1" applyFill="1" applyBorder="1" applyAlignment="1">
      <alignment horizontal="center" vertical="center"/>
    </xf>
    <xf numFmtId="0" fontId="97" fillId="0" borderId="89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wrapText="1"/>
    </xf>
    <xf numFmtId="0" fontId="18" fillId="0" borderId="75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17" fillId="0" borderId="10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3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103" fillId="0" borderId="29" xfId="0" applyFont="1" applyFill="1" applyBorder="1" applyAlignment="1">
      <alignment horizontal="center" wrapText="1"/>
    </xf>
    <xf numFmtId="0" fontId="103" fillId="0" borderId="19" xfId="0" applyFont="1" applyFill="1" applyBorder="1" applyAlignment="1">
      <alignment horizont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0" fontId="3" fillId="0" borderId="87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111" fillId="0" borderId="29" xfId="0" applyFont="1" applyFill="1" applyBorder="1" applyAlignment="1">
      <alignment horizontal="center" wrapText="1"/>
    </xf>
    <xf numFmtId="0" fontId="111" fillId="0" borderId="16" xfId="0" applyFont="1" applyFill="1" applyBorder="1" applyAlignment="1">
      <alignment horizontal="center" wrapText="1"/>
    </xf>
    <xf numFmtId="0" fontId="111" fillId="0" borderId="75" xfId="0" applyFont="1" applyFill="1" applyBorder="1" applyAlignment="1">
      <alignment horizontal="center" wrapText="1"/>
    </xf>
    <xf numFmtId="0" fontId="111" fillId="0" borderId="70" xfId="0" applyFont="1" applyFill="1" applyBorder="1" applyAlignment="1">
      <alignment horizontal="center" wrapText="1"/>
    </xf>
    <xf numFmtId="0" fontId="112" fillId="0" borderId="38" xfId="0" applyFont="1" applyFill="1" applyBorder="1" applyAlignment="1">
      <alignment horizontal="center" wrapText="1"/>
    </xf>
    <xf numFmtId="0" fontId="112" fillId="0" borderId="5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13" fillId="0" borderId="17" xfId="0" applyFont="1" applyFill="1" applyBorder="1" applyAlignment="1">
      <alignment horizont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wrapText="1"/>
    </xf>
    <xf numFmtId="0" fontId="10" fillId="0" borderId="101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10" fillId="0" borderId="89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 vertical="center" wrapText="1"/>
    </xf>
    <xf numFmtId="0" fontId="42" fillId="33" borderId="31" xfId="53" applyNumberFormat="1" applyFont="1" applyFill="1" applyBorder="1" applyAlignment="1">
      <alignment horizontal="center" vertical="top" wrapText="1"/>
      <protection/>
    </xf>
    <xf numFmtId="0" fontId="76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C258"/>
  <sheetViews>
    <sheetView tabSelected="1" zoomScalePageLayoutView="0" workbookViewId="0" topLeftCell="A1">
      <selection activeCell="L167" sqref="L167"/>
    </sheetView>
  </sheetViews>
  <sheetFormatPr defaultColWidth="9.140625" defaultRowHeight="12.75"/>
  <cols>
    <col min="1" max="1" width="5.57421875" style="6" customWidth="1"/>
    <col min="2" max="2" width="33.00390625" style="6" customWidth="1"/>
    <col min="3" max="3" width="13.57421875" style="6" customWidth="1"/>
    <col min="4" max="4" width="12.28125" style="6" customWidth="1"/>
    <col min="5" max="5" width="8.7109375" style="6" customWidth="1"/>
    <col min="6" max="6" width="11.8515625" style="6" customWidth="1"/>
    <col min="7" max="7" width="12.421875" style="6" customWidth="1"/>
    <col min="8" max="8" width="12.8515625" style="6" customWidth="1"/>
    <col min="9" max="9" width="15.8515625" style="232" customWidth="1"/>
    <col min="10" max="10" width="14.8515625" style="6" bestFit="1" customWidth="1"/>
    <col min="11" max="11" width="14.7109375" style="6" customWidth="1"/>
    <col min="12" max="13" width="13.8515625" style="6" bestFit="1" customWidth="1"/>
    <col min="14" max="14" width="15.421875" style="6" customWidth="1"/>
    <col min="15" max="15" width="12.7109375" style="6" bestFit="1" customWidth="1"/>
    <col min="16" max="16" width="11.7109375" style="6" bestFit="1" customWidth="1"/>
    <col min="17" max="17" width="28.28125" style="6" bestFit="1" customWidth="1"/>
    <col min="18" max="18" width="9.57421875" style="6" bestFit="1" customWidth="1"/>
    <col min="19" max="16384" width="9.140625" style="6" customWidth="1"/>
  </cols>
  <sheetData>
    <row r="1" spans="1:9" ht="15" customHeight="1">
      <c r="A1" s="128"/>
      <c r="F1" s="133"/>
      <c r="G1" s="134"/>
      <c r="H1" s="134"/>
      <c r="I1" s="6"/>
    </row>
    <row r="2" spans="1:9" ht="15" customHeight="1">
      <c r="A2" s="128"/>
      <c r="B2" s="531" t="s">
        <v>403</v>
      </c>
      <c r="C2" s="531"/>
      <c r="D2" s="531"/>
      <c r="E2" s="531"/>
      <c r="F2" s="531"/>
      <c r="G2" s="531"/>
      <c r="H2" s="531"/>
      <c r="I2" s="6"/>
    </row>
    <row r="3" spans="1:9" ht="13.5" customHeight="1" thickBot="1">
      <c r="A3" s="128"/>
      <c r="B3" s="428" t="s">
        <v>404</v>
      </c>
      <c r="C3" s="428"/>
      <c r="D3" s="428"/>
      <c r="E3" s="428"/>
      <c r="F3" s="428"/>
      <c r="G3" s="428"/>
      <c r="H3" s="428"/>
      <c r="I3" s="6"/>
    </row>
    <row r="4" spans="1:9" ht="22.5" customHeight="1" thickBot="1">
      <c r="A4" s="433"/>
      <c r="B4" s="435" t="s">
        <v>3</v>
      </c>
      <c r="C4" s="436"/>
      <c r="D4" s="138" t="s">
        <v>4</v>
      </c>
      <c r="E4" s="138" t="s">
        <v>5</v>
      </c>
      <c r="F4" s="138" t="s">
        <v>6</v>
      </c>
      <c r="G4" s="139" t="s">
        <v>7</v>
      </c>
      <c r="H4" s="140" t="s">
        <v>8</v>
      </c>
      <c r="I4" s="6"/>
    </row>
    <row r="5" spans="1:9" ht="14.25" customHeight="1" thickBot="1">
      <c r="A5" s="434"/>
      <c r="B5" s="437"/>
      <c r="C5" s="438"/>
      <c r="D5" s="141" t="s">
        <v>9</v>
      </c>
      <c r="E5" s="141"/>
      <c r="F5" s="141" t="s">
        <v>10</v>
      </c>
      <c r="G5" s="142" t="s">
        <v>10</v>
      </c>
      <c r="H5" s="143" t="s">
        <v>10</v>
      </c>
      <c r="I5" s="6"/>
    </row>
    <row r="6" spans="1:11" ht="13.5" customHeight="1" thickBot="1">
      <c r="A6" s="73" t="s">
        <v>11</v>
      </c>
      <c r="B6" s="439" t="s">
        <v>12</v>
      </c>
      <c r="C6" s="440"/>
      <c r="D6" s="144">
        <f>D7+D10+D8+D9</f>
        <v>10946857.476</v>
      </c>
      <c r="E6" s="145"/>
      <c r="F6" s="146">
        <f>F7+F10+F8+F9</f>
        <v>67702820.41</v>
      </c>
      <c r="G6" s="146">
        <f>G7+G10+G8+G9</f>
        <v>12186507.87</v>
      </c>
      <c r="H6" s="147">
        <f>H7+H10+H8+H9</f>
        <v>79889328.28</v>
      </c>
      <c r="I6" s="6"/>
      <c r="J6" s="13"/>
      <c r="K6" s="148"/>
    </row>
    <row r="7" spans="1:19" ht="12.75" customHeight="1">
      <c r="A7" s="364" t="s">
        <v>13</v>
      </c>
      <c r="B7" s="441" t="s">
        <v>14</v>
      </c>
      <c r="C7" s="441"/>
      <c r="D7" s="365">
        <f>5285142.2-D62-D63-D132-D8-D9</f>
        <v>5237291.2</v>
      </c>
      <c r="E7" s="369">
        <v>6.185</v>
      </c>
      <c r="F7" s="366">
        <f>H7-G7</f>
        <v>32392647.09</v>
      </c>
      <c r="G7" s="366">
        <f>5882974.2-G62-G63-G132-G8-G9</f>
        <v>5830676.61</v>
      </c>
      <c r="H7" s="367">
        <f>38566163.46-H62-H63-H132-H8-H9</f>
        <v>38223323.7</v>
      </c>
      <c r="I7" s="149"/>
      <c r="J7" s="12"/>
      <c r="K7" s="149"/>
      <c r="L7" s="10"/>
      <c r="M7" s="10"/>
      <c r="N7" s="10"/>
      <c r="P7" s="11"/>
      <c r="Q7" s="3"/>
      <c r="R7" s="5"/>
      <c r="S7" s="11"/>
    </row>
    <row r="8" spans="1:19" ht="12.75" customHeight="1">
      <c r="A8" s="349" t="s">
        <v>335</v>
      </c>
      <c r="B8" s="427" t="s">
        <v>14</v>
      </c>
      <c r="C8" s="427"/>
      <c r="D8" s="362">
        <v>29611</v>
      </c>
      <c r="E8" s="4">
        <v>6.868</v>
      </c>
      <c r="F8" s="251">
        <f>H8-G8</f>
        <v>203368.35</v>
      </c>
      <c r="G8" s="251">
        <v>36606.3</v>
      </c>
      <c r="H8" s="278">
        <v>239974.65</v>
      </c>
      <c r="I8" s="149"/>
      <c r="J8" s="12"/>
      <c r="K8" s="149"/>
      <c r="L8" s="10"/>
      <c r="M8" s="10"/>
      <c r="N8" s="10"/>
      <c r="P8" s="11"/>
      <c r="Q8" s="3"/>
      <c r="R8" s="5"/>
      <c r="S8" s="11"/>
    </row>
    <row r="9" spans="1:19" ht="12.75" customHeight="1">
      <c r="A9" s="349" t="s">
        <v>336</v>
      </c>
      <c r="B9" s="427" t="s">
        <v>14</v>
      </c>
      <c r="C9" s="427"/>
      <c r="D9" s="362">
        <v>14196</v>
      </c>
      <c r="E9" s="4">
        <v>4.514</v>
      </c>
      <c r="F9" s="251">
        <f>H9-G9</f>
        <v>64080.74</v>
      </c>
      <c r="G9" s="251">
        <v>11534.53</v>
      </c>
      <c r="H9" s="278">
        <v>75615.27</v>
      </c>
      <c r="I9" s="149"/>
      <c r="J9" s="12"/>
      <c r="K9" s="149"/>
      <c r="L9" s="10"/>
      <c r="M9" s="10"/>
      <c r="N9" s="10"/>
      <c r="P9" s="11"/>
      <c r="Q9" s="3"/>
      <c r="R9" s="5"/>
      <c r="S9" s="11"/>
    </row>
    <row r="10" spans="1:19" s="56" customFormat="1" ht="15" customHeight="1">
      <c r="A10" s="280" t="s">
        <v>15</v>
      </c>
      <c r="B10" s="442" t="s">
        <v>16</v>
      </c>
      <c r="C10" s="442"/>
      <c r="D10" s="363">
        <f>D11+D14+D15+D12+D13</f>
        <v>5665759.276</v>
      </c>
      <c r="E10" s="123"/>
      <c r="F10" s="350">
        <f>F11+F14+F15+F12+F13</f>
        <v>35042724.23</v>
      </c>
      <c r="G10" s="350">
        <f>G11+G14+G15+G12+G13</f>
        <v>6307690.43</v>
      </c>
      <c r="H10" s="351">
        <f>H11+H14+H15+H12+H13</f>
        <v>41350414.66</v>
      </c>
      <c r="K10" s="148"/>
      <c r="P10" s="11"/>
      <c r="Q10" s="3"/>
      <c r="R10" s="55"/>
      <c r="S10" s="11"/>
    </row>
    <row r="11" spans="1:19" ht="12" customHeight="1">
      <c r="A11" s="259" t="s">
        <v>17</v>
      </c>
      <c r="B11" s="443" t="s">
        <v>18</v>
      </c>
      <c r="C11" s="444"/>
      <c r="D11" s="125">
        <f>2624827.276-D12-D13-D134</f>
        <v>2621806.276</v>
      </c>
      <c r="E11" s="4">
        <v>6.185</v>
      </c>
      <c r="F11" s="8">
        <f aca="true" t="shared" si="0" ref="F11:F19">H11-G11</f>
        <v>16215871.96</v>
      </c>
      <c r="G11" s="2">
        <f>2922220.74-G12-G13-G134</f>
        <v>2918856.98</v>
      </c>
      <c r="H11" s="260">
        <f>19156780.29-H12-H13-H134</f>
        <v>19134728.94</v>
      </c>
      <c r="I11" s="9"/>
      <c r="K11" s="10"/>
      <c r="L11" s="80"/>
      <c r="M11" s="79"/>
      <c r="N11" s="12"/>
      <c r="P11" s="11"/>
      <c r="Q11" s="3"/>
      <c r="R11" s="5"/>
      <c r="S11" s="11"/>
    </row>
    <row r="12" spans="1:19" ht="12" customHeight="1">
      <c r="A12" s="259" t="s">
        <v>111</v>
      </c>
      <c r="B12" s="419" t="s">
        <v>18</v>
      </c>
      <c r="C12" s="420"/>
      <c r="D12" s="125">
        <v>300</v>
      </c>
      <c r="E12" s="4">
        <v>6.868</v>
      </c>
      <c r="F12" s="8">
        <f>H12-G12</f>
        <v>2060.4</v>
      </c>
      <c r="G12" s="2">
        <v>370.87</v>
      </c>
      <c r="H12" s="260">
        <v>2431.27</v>
      </c>
      <c r="I12" s="9"/>
      <c r="K12" s="10"/>
      <c r="L12" s="10"/>
      <c r="M12" s="10"/>
      <c r="P12" s="11"/>
      <c r="Q12" s="3"/>
      <c r="R12" s="5"/>
      <c r="S12" s="11"/>
    </row>
    <row r="13" spans="1:19" ht="12" customHeight="1">
      <c r="A13" s="259" t="s">
        <v>110</v>
      </c>
      <c r="B13" s="419" t="s">
        <v>18</v>
      </c>
      <c r="C13" s="420"/>
      <c r="D13" s="125">
        <v>121</v>
      </c>
      <c r="E13" s="4">
        <v>4.514</v>
      </c>
      <c r="F13" s="8">
        <f>H13-G13</f>
        <v>546.19</v>
      </c>
      <c r="G13" s="2">
        <v>98.31</v>
      </c>
      <c r="H13" s="260">
        <v>644.5</v>
      </c>
      <c r="I13" s="9"/>
      <c r="K13" s="10"/>
      <c r="L13" s="10"/>
      <c r="M13" s="10"/>
      <c r="P13" s="11"/>
      <c r="Q13" s="3"/>
      <c r="R13" s="5"/>
      <c r="S13" s="11"/>
    </row>
    <row r="14" spans="1:19" ht="12.75" customHeight="1">
      <c r="A14" s="259" t="s">
        <v>19</v>
      </c>
      <c r="B14" s="419" t="s">
        <v>20</v>
      </c>
      <c r="C14" s="420"/>
      <c r="D14" s="126">
        <v>854276</v>
      </c>
      <c r="E14" s="7">
        <v>6.185</v>
      </c>
      <c r="F14" s="127">
        <f t="shared" si="0"/>
        <v>5283697.21</v>
      </c>
      <c r="G14" s="2">
        <v>951065.52</v>
      </c>
      <c r="H14" s="261">
        <v>6234762.73</v>
      </c>
      <c r="I14" s="9"/>
      <c r="P14" s="12"/>
      <c r="Q14" s="12"/>
      <c r="S14" s="12"/>
    </row>
    <row r="15" spans="1:14" ht="11.25" customHeight="1">
      <c r="A15" s="262" t="s">
        <v>21</v>
      </c>
      <c r="B15" s="421" t="s">
        <v>22</v>
      </c>
      <c r="C15" s="422"/>
      <c r="D15" s="390">
        <f>2197551-D135</f>
        <v>2189256</v>
      </c>
      <c r="E15" s="7">
        <v>6.185</v>
      </c>
      <c r="F15" s="8">
        <f>H15-G15</f>
        <v>13540548.47</v>
      </c>
      <c r="G15" s="8">
        <f>2446533.58-G135</f>
        <v>2437298.75</v>
      </c>
      <c r="H15" s="260">
        <f>16038386.63-H135</f>
        <v>15977847.22</v>
      </c>
      <c r="I15" s="9"/>
      <c r="J15" s="13"/>
      <c r="K15" s="79"/>
      <c r="L15" s="79"/>
      <c r="M15" s="10"/>
      <c r="N15" s="10"/>
    </row>
    <row r="16" spans="1:11" ht="12" customHeight="1">
      <c r="A16" s="259" t="s">
        <v>23</v>
      </c>
      <c r="B16" s="419" t="s">
        <v>24</v>
      </c>
      <c r="C16" s="420"/>
      <c r="D16" s="125">
        <f>607844-D137</f>
        <v>604009</v>
      </c>
      <c r="E16" s="7">
        <v>6.185</v>
      </c>
      <c r="F16" s="8">
        <f t="shared" si="0"/>
        <v>3735795.66</v>
      </c>
      <c r="G16" s="2">
        <f>676712.72-G137</f>
        <v>672443.21</v>
      </c>
      <c r="H16" s="260">
        <f>4436227.86-H137</f>
        <v>4408238.87</v>
      </c>
      <c r="I16" s="12"/>
      <c r="K16" s="10"/>
    </row>
    <row r="17" spans="1:11" ht="12" customHeight="1">
      <c r="A17" s="259" t="s">
        <v>25</v>
      </c>
      <c r="B17" s="419" t="s">
        <v>357</v>
      </c>
      <c r="C17" s="420"/>
      <c r="D17" s="125">
        <v>59405</v>
      </c>
      <c r="E17" s="7">
        <v>6.185</v>
      </c>
      <c r="F17" s="8">
        <f>H17-G17</f>
        <v>367419.93</v>
      </c>
      <c r="G17" s="2">
        <v>66135.59</v>
      </c>
      <c r="H17" s="260">
        <v>433555.52</v>
      </c>
      <c r="I17" s="6"/>
      <c r="K17" s="10"/>
    </row>
    <row r="18" spans="1:15" ht="13.5" customHeight="1">
      <c r="A18" s="259" t="s">
        <v>69</v>
      </c>
      <c r="B18" s="419" t="s">
        <v>27</v>
      </c>
      <c r="C18" s="420"/>
      <c r="D18" s="125">
        <v>20468</v>
      </c>
      <c r="E18" s="7">
        <v>6.185</v>
      </c>
      <c r="F18" s="8">
        <f>H18-G18</f>
        <v>126594.59</v>
      </c>
      <c r="G18" s="2">
        <v>22787.04</v>
      </c>
      <c r="H18" s="260">
        <v>149381.63</v>
      </c>
      <c r="I18" s="6"/>
      <c r="K18" s="150"/>
      <c r="L18" s="150"/>
      <c r="M18" s="150"/>
      <c r="N18" s="151"/>
      <c r="O18" s="10"/>
    </row>
    <row r="19" spans="1:15" ht="13.5" customHeight="1">
      <c r="A19" s="259" t="s">
        <v>207</v>
      </c>
      <c r="B19" s="419" t="s">
        <v>212</v>
      </c>
      <c r="C19" s="420"/>
      <c r="D19" s="125">
        <v>69</v>
      </c>
      <c r="E19" s="7">
        <v>6.185</v>
      </c>
      <c r="F19" s="8">
        <f t="shared" si="0"/>
        <v>0</v>
      </c>
      <c r="G19" s="2">
        <v>0</v>
      </c>
      <c r="H19" s="260">
        <v>0</v>
      </c>
      <c r="I19" s="6"/>
      <c r="K19" s="150"/>
      <c r="L19" s="150"/>
      <c r="M19" s="150"/>
      <c r="N19" s="151"/>
      <c r="O19" s="10"/>
    </row>
    <row r="20" spans="1:15" ht="13.5" customHeight="1" thickBot="1">
      <c r="A20" s="358" t="s">
        <v>214</v>
      </c>
      <c r="B20" s="451" t="s">
        <v>28</v>
      </c>
      <c r="C20" s="452"/>
      <c r="D20" s="359">
        <f>D15-D16-D17-D18-D19</f>
        <v>1505305</v>
      </c>
      <c r="E20" s="368">
        <v>6.185</v>
      </c>
      <c r="F20" s="360">
        <f>F15-F16-F17-F18-F19</f>
        <v>9310738.29</v>
      </c>
      <c r="G20" s="360">
        <f>G15-G16-G17-G18-G19</f>
        <v>1675932.91</v>
      </c>
      <c r="H20" s="361">
        <f>H15-H16-H17-H18-H19</f>
        <v>10986671.2</v>
      </c>
      <c r="I20" s="6"/>
      <c r="K20" s="148"/>
      <c r="L20" s="10"/>
      <c r="M20" s="10"/>
      <c r="N20" s="10"/>
      <c r="O20" s="10"/>
    </row>
    <row r="21" spans="1:15" ht="7.5" customHeight="1" thickBot="1">
      <c r="A21" s="352"/>
      <c r="B21" s="353"/>
      <c r="C21" s="353"/>
      <c r="D21" s="354"/>
      <c r="E21" s="355"/>
      <c r="F21" s="356"/>
      <c r="G21" s="356"/>
      <c r="H21" s="357"/>
      <c r="I21" s="6"/>
      <c r="K21" s="26"/>
      <c r="L21" s="26"/>
      <c r="M21" s="10"/>
      <c r="N21" s="10"/>
      <c r="O21" s="10"/>
    </row>
    <row r="22" spans="1:15" ht="44.25" customHeight="1" thickBot="1">
      <c r="A22" s="156" t="s">
        <v>29</v>
      </c>
      <c r="B22" s="157" t="s">
        <v>120</v>
      </c>
      <c r="C22" s="18" t="s">
        <v>116</v>
      </c>
      <c r="D22" s="158" t="s">
        <v>121</v>
      </c>
      <c r="E22" s="159" t="s">
        <v>5</v>
      </c>
      <c r="F22" s="74" t="s">
        <v>122</v>
      </c>
      <c r="G22" s="160" t="s">
        <v>124</v>
      </c>
      <c r="H22" s="161" t="s">
        <v>123</v>
      </c>
      <c r="I22" s="6"/>
      <c r="K22" s="26"/>
      <c r="L22" s="26"/>
      <c r="M22" s="10"/>
      <c r="N22" s="10"/>
      <c r="O22" s="10"/>
    </row>
    <row r="23" spans="1:15" ht="16.5" customHeight="1">
      <c r="A23" s="265" t="s">
        <v>31</v>
      </c>
      <c r="B23" s="453" t="s">
        <v>30</v>
      </c>
      <c r="C23" s="454"/>
      <c r="D23" s="81">
        <f>SUM(D24:D127)</f>
        <v>13221938.456</v>
      </c>
      <c r="E23" s="19"/>
      <c r="F23" s="19">
        <f>SUM(F24:F127)</f>
        <v>24100569.92</v>
      </c>
      <c r="G23" s="19">
        <f>SUM(G24:G127)</f>
        <v>4338102.65</v>
      </c>
      <c r="H23" s="266">
        <f>SUM(H24:H127)</f>
        <v>28438672.57</v>
      </c>
      <c r="I23" s="162"/>
      <c r="K23" s="163"/>
      <c r="L23" s="3"/>
      <c r="M23" s="10"/>
      <c r="N23" s="10"/>
      <c r="O23" s="10"/>
    </row>
    <row r="24" spans="1:16" ht="12.75" customHeight="1">
      <c r="A24" s="265" t="s">
        <v>56</v>
      </c>
      <c r="B24" s="423" t="s">
        <v>32</v>
      </c>
      <c r="C24" s="423"/>
      <c r="D24" s="164">
        <f>10729829.839-D141</f>
        <v>10709357.128</v>
      </c>
      <c r="E24" s="165"/>
      <c r="F24" s="17">
        <f aca="true" t="shared" si="1" ref="F24:F69">H24-G24</f>
        <v>19548401.31</v>
      </c>
      <c r="G24" s="98">
        <f>3525747.58-G141</f>
        <v>3518712.24</v>
      </c>
      <c r="H24" s="118">
        <f>23113234.1-H141</f>
        <v>23067113.55</v>
      </c>
      <c r="I24" s="162"/>
      <c r="J24" s="166"/>
      <c r="K24" s="167"/>
      <c r="L24" s="168"/>
      <c r="M24" s="26"/>
      <c r="N24" s="169"/>
      <c r="O24" s="167"/>
      <c r="P24" s="167"/>
    </row>
    <row r="25" spans="1:13" ht="12" customHeight="1">
      <c r="A25" s="265" t="s">
        <v>94</v>
      </c>
      <c r="B25" s="432" t="s">
        <v>112</v>
      </c>
      <c r="C25" s="432"/>
      <c r="D25" s="102">
        <v>10408</v>
      </c>
      <c r="E25" s="20">
        <v>2.68</v>
      </c>
      <c r="F25" s="17">
        <f t="shared" si="1"/>
        <v>23638.51</v>
      </c>
      <c r="G25" s="21">
        <f>H25/6.5555555</f>
        <v>4254.93</v>
      </c>
      <c r="H25" s="118">
        <f aca="true" t="shared" si="2" ref="H25:H31">D25*E25</f>
        <v>27893.44</v>
      </c>
      <c r="I25" s="71"/>
      <c r="J25" s="22"/>
      <c r="L25" s="23"/>
      <c r="M25" s="23"/>
    </row>
    <row r="26" spans="1:22" ht="12" customHeight="1">
      <c r="A26" s="265" t="s">
        <v>95</v>
      </c>
      <c r="B26" s="432" t="s">
        <v>103</v>
      </c>
      <c r="C26" s="432"/>
      <c r="D26" s="102">
        <v>21947</v>
      </c>
      <c r="E26" s="20">
        <v>2.73</v>
      </c>
      <c r="F26" s="17">
        <f t="shared" si="1"/>
        <v>50775.68</v>
      </c>
      <c r="G26" s="21">
        <f>H26/6.5555555+0.01</f>
        <v>9139.63</v>
      </c>
      <c r="H26" s="118">
        <f t="shared" si="2"/>
        <v>59915.31</v>
      </c>
      <c r="I26" s="71"/>
      <c r="J26" s="22"/>
      <c r="K26" s="24"/>
      <c r="L26" s="23"/>
      <c r="M26" s="23"/>
      <c r="N26" s="25"/>
      <c r="O26" s="26"/>
      <c r="P26" s="5"/>
      <c r="Q26" s="99"/>
      <c r="R26" s="100"/>
      <c r="S26" s="460"/>
      <c r="T26" s="460"/>
      <c r="U26" s="470"/>
      <c r="V26" s="460"/>
    </row>
    <row r="27" spans="1:22" ht="12" customHeight="1">
      <c r="A27" s="265" t="s">
        <v>57</v>
      </c>
      <c r="B27" s="462" t="s">
        <v>104</v>
      </c>
      <c r="C27" s="463"/>
      <c r="D27" s="102">
        <v>10660</v>
      </c>
      <c r="E27" s="29">
        <v>1.36</v>
      </c>
      <c r="F27" s="17">
        <f t="shared" si="1"/>
        <v>12286.09</v>
      </c>
      <c r="G27" s="21">
        <v>2211.51</v>
      </c>
      <c r="H27" s="118">
        <v>14497.6</v>
      </c>
      <c r="I27" s="71"/>
      <c r="J27" s="22"/>
      <c r="K27" s="27"/>
      <c r="L27" s="23"/>
      <c r="M27" s="23"/>
      <c r="N27" s="25"/>
      <c r="O27" s="28"/>
      <c r="P27" s="5"/>
      <c r="Q27" s="99"/>
      <c r="R27" s="101"/>
      <c r="S27" s="460"/>
      <c r="T27" s="460"/>
      <c r="U27" s="460"/>
      <c r="V27" s="460"/>
    </row>
    <row r="28" spans="1:22" ht="15.75" customHeight="1">
      <c r="A28" s="429" t="s">
        <v>58</v>
      </c>
      <c r="B28" s="464" t="s">
        <v>295</v>
      </c>
      <c r="C28" s="467" t="s">
        <v>138</v>
      </c>
      <c r="D28" s="378">
        <v>0</v>
      </c>
      <c r="E28" s="91">
        <v>2.68</v>
      </c>
      <c r="F28" s="379">
        <f t="shared" si="1"/>
        <v>0</v>
      </c>
      <c r="G28" s="380">
        <f>H28/6.5555555</f>
        <v>0</v>
      </c>
      <c r="H28" s="381">
        <f t="shared" si="2"/>
        <v>0</v>
      </c>
      <c r="I28" s="71"/>
      <c r="J28" s="22"/>
      <c r="L28" s="23"/>
      <c r="M28" s="23"/>
      <c r="N28" s="25"/>
      <c r="O28" s="28"/>
      <c r="P28" s="5"/>
      <c r="Q28" s="99"/>
      <c r="R28" s="101"/>
      <c r="S28" s="460"/>
      <c r="T28" s="460"/>
      <c r="U28" s="460"/>
      <c r="V28" s="460"/>
    </row>
    <row r="29" spans="1:22" ht="15.75" customHeight="1">
      <c r="A29" s="430"/>
      <c r="B29" s="465"/>
      <c r="C29" s="468"/>
      <c r="D29" s="378">
        <v>414000</v>
      </c>
      <c r="E29" s="91">
        <v>2.73</v>
      </c>
      <c r="F29" s="379">
        <f t="shared" si="1"/>
        <v>957813.56</v>
      </c>
      <c r="G29" s="380">
        <f>H29/6.5555555</f>
        <v>172406.44</v>
      </c>
      <c r="H29" s="381">
        <v>1130220</v>
      </c>
      <c r="I29" s="71"/>
      <c r="J29" s="22"/>
      <c r="K29" s="27"/>
      <c r="L29" s="23"/>
      <c r="M29" s="23"/>
      <c r="N29" s="25"/>
      <c r="O29" s="28"/>
      <c r="P29" s="5"/>
      <c r="Q29" s="99"/>
      <c r="R29" s="101"/>
      <c r="S29" s="460"/>
      <c r="T29" s="460"/>
      <c r="U29" s="460"/>
      <c r="V29" s="460"/>
    </row>
    <row r="30" spans="1:81" s="33" customFormat="1" ht="15.75" customHeight="1">
      <c r="A30" s="431"/>
      <c r="B30" s="471"/>
      <c r="C30" s="469"/>
      <c r="D30" s="378">
        <v>205200</v>
      </c>
      <c r="E30" s="91">
        <v>1.36</v>
      </c>
      <c r="F30" s="379">
        <f t="shared" si="1"/>
        <v>236501.69</v>
      </c>
      <c r="G30" s="380">
        <f>H30/6.5555555</f>
        <v>42570.31</v>
      </c>
      <c r="H30" s="381">
        <v>279072</v>
      </c>
      <c r="I30" s="30"/>
      <c r="J30" s="22"/>
      <c r="K30" s="27"/>
      <c r="L30" s="23"/>
      <c r="M30" s="23"/>
      <c r="N30" s="25"/>
      <c r="O30" s="28"/>
      <c r="P30" s="32"/>
      <c r="Q30" s="99"/>
      <c r="R30" s="100"/>
      <c r="S30" s="460"/>
      <c r="T30" s="460"/>
      <c r="U30" s="460"/>
      <c r="V30" s="460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</row>
    <row r="31" spans="1:81" s="33" customFormat="1" ht="15.75" customHeight="1">
      <c r="A31" s="429" t="s">
        <v>88</v>
      </c>
      <c r="B31" s="464" t="s">
        <v>204</v>
      </c>
      <c r="C31" s="467" t="s">
        <v>139</v>
      </c>
      <c r="D31" s="378">
        <v>0</v>
      </c>
      <c r="E31" s="91">
        <v>2.68</v>
      </c>
      <c r="F31" s="379">
        <f t="shared" si="1"/>
        <v>0</v>
      </c>
      <c r="G31" s="380">
        <f>H31/6.5555555</f>
        <v>0</v>
      </c>
      <c r="H31" s="381">
        <f t="shared" si="2"/>
        <v>0</v>
      </c>
      <c r="I31" s="71"/>
      <c r="J31" s="22"/>
      <c r="K31" s="6"/>
      <c r="L31" s="23"/>
      <c r="M31" s="23"/>
      <c r="N31" s="25"/>
      <c r="O31" s="28"/>
      <c r="P31" s="32"/>
      <c r="Q31" s="99"/>
      <c r="R31" s="100"/>
      <c r="S31" s="460"/>
      <c r="T31" s="460"/>
      <c r="U31" s="460"/>
      <c r="V31" s="460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</row>
    <row r="32" spans="1:81" s="33" customFormat="1" ht="15.75" customHeight="1">
      <c r="A32" s="430"/>
      <c r="B32" s="465"/>
      <c r="C32" s="468"/>
      <c r="D32" s="378">
        <v>124200</v>
      </c>
      <c r="E32" s="91">
        <v>2.73</v>
      </c>
      <c r="F32" s="379">
        <f t="shared" si="1"/>
        <v>287344.07</v>
      </c>
      <c r="G32" s="380">
        <f>H32/6.5555555</f>
        <v>51721.93</v>
      </c>
      <c r="H32" s="381">
        <f aca="true" t="shared" si="3" ref="H32:H63">D32*E32</f>
        <v>339066</v>
      </c>
      <c r="I32" s="71"/>
      <c r="J32" s="61"/>
      <c r="K32" s="27"/>
      <c r="L32" s="23"/>
      <c r="M32" s="23"/>
      <c r="N32" s="25"/>
      <c r="O32" s="28"/>
      <c r="P32" s="32"/>
      <c r="Q32" s="99"/>
      <c r="R32" s="100"/>
      <c r="S32" s="460"/>
      <c r="T32" s="460"/>
      <c r="U32" s="460"/>
      <c r="V32" s="460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</row>
    <row r="33" spans="1:22" s="32" customFormat="1" ht="15.75" customHeight="1">
      <c r="A33" s="431"/>
      <c r="B33" s="466"/>
      <c r="C33" s="469"/>
      <c r="D33" s="378">
        <v>61200</v>
      </c>
      <c r="E33" s="91">
        <v>1.36</v>
      </c>
      <c r="F33" s="379">
        <f t="shared" si="1"/>
        <v>70535.59</v>
      </c>
      <c r="G33" s="380">
        <f aca="true" t="shared" si="4" ref="G33:G63">H33/6.5555555</f>
        <v>12696.41</v>
      </c>
      <c r="H33" s="381">
        <f t="shared" si="3"/>
        <v>83232</v>
      </c>
      <c r="I33" s="71"/>
      <c r="J33" s="61"/>
      <c r="K33" s="27"/>
      <c r="L33" s="23"/>
      <c r="M33" s="23"/>
      <c r="N33" s="25"/>
      <c r="O33" s="28"/>
      <c r="Q33" s="99"/>
      <c r="R33" s="101"/>
      <c r="S33" s="460"/>
      <c r="T33" s="460"/>
      <c r="U33" s="460"/>
      <c r="V33" s="460"/>
    </row>
    <row r="34" spans="1:22" ht="13.5" customHeight="1">
      <c r="A34" s="265" t="s">
        <v>144</v>
      </c>
      <c r="B34" s="34" t="s">
        <v>48</v>
      </c>
      <c r="C34" s="448" t="s">
        <v>131</v>
      </c>
      <c r="D34" s="102">
        <f>49797</f>
        <v>49797</v>
      </c>
      <c r="E34" s="234">
        <v>2.73</v>
      </c>
      <c r="F34" s="17">
        <f t="shared" si="1"/>
        <v>115208.31</v>
      </c>
      <c r="G34" s="21">
        <f t="shared" si="4"/>
        <v>20737.5</v>
      </c>
      <c r="H34" s="118">
        <f t="shared" si="3"/>
        <v>135945.81</v>
      </c>
      <c r="I34" s="71"/>
      <c r="J34" s="22"/>
      <c r="K34" s="26"/>
      <c r="L34" s="23"/>
      <c r="M34" s="23"/>
      <c r="N34" s="25"/>
      <c r="O34" s="26"/>
      <c r="P34" s="5"/>
      <c r="Q34" s="99"/>
      <c r="R34" s="100"/>
      <c r="S34" s="460"/>
      <c r="T34" s="460"/>
      <c r="U34" s="460"/>
      <c r="V34" s="460"/>
    </row>
    <row r="35" spans="1:22" ht="14.25" customHeight="1">
      <c r="A35" s="265" t="s">
        <v>145</v>
      </c>
      <c r="B35" s="328" t="s">
        <v>48</v>
      </c>
      <c r="C35" s="449"/>
      <c r="D35" s="102">
        <v>28983</v>
      </c>
      <c r="E35" s="234">
        <v>1.91</v>
      </c>
      <c r="F35" s="17">
        <f t="shared" si="1"/>
        <v>46913.16</v>
      </c>
      <c r="G35" s="21">
        <f t="shared" si="4"/>
        <v>8444.37</v>
      </c>
      <c r="H35" s="118">
        <f t="shared" si="3"/>
        <v>55357.53</v>
      </c>
      <c r="I35" s="71"/>
      <c r="J35" s="22"/>
      <c r="K35" s="35"/>
      <c r="L35" s="23"/>
      <c r="M35" s="23"/>
      <c r="N35" s="25"/>
      <c r="O35" s="26"/>
      <c r="P35" s="5"/>
      <c r="Q35" s="99"/>
      <c r="R35" s="100"/>
      <c r="S35" s="460"/>
      <c r="T35" s="460"/>
      <c r="U35" s="460"/>
      <c r="V35" s="460"/>
    </row>
    <row r="36" spans="1:22" ht="24" customHeight="1">
      <c r="A36" s="265" t="s">
        <v>146</v>
      </c>
      <c r="B36" s="36" t="s">
        <v>49</v>
      </c>
      <c r="C36" s="449"/>
      <c r="D36" s="102">
        <f>40560</f>
        <v>40560</v>
      </c>
      <c r="E36" s="329">
        <v>1.36</v>
      </c>
      <c r="F36" s="17">
        <f t="shared" si="1"/>
        <v>46747.12</v>
      </c>
      <c r="G36" s="21">
        <f t="shared" si="4"/>
        <v>8414.48</v>
      </c>
      <c r="H36" s="118">
        <f>55161.6</f>
        <v>55161.6</v>
      </c>
      <c r="I36" s="71"/>
      <c r="J36" s="22"/>
      <c r="K36" s="26"/>
      <c r="L36" s="23"/>
      <c r="M36" s="23"/>
      <c r="N36" s="25"/>
      <c r="O36" s="26"/>
      <c r="P36" s="5"/>
      <c r="Q36" s="99"/>
      <c r="R36" s="101"/>
      <c r="S36" s="5"/>
      <c r="T36" s="5"/>
      <c r="U36" s="43"/>
      <c r="V36" s="5"/>
    </row>
    <row r="37" spans="1:22" ht="24.75" customHeight="1">
      <c r="A37" s="265" t="s">
        <v>147</v>
      </c>
      <c r="B37" s="36" t="s">
        <v>49</v>
      </c>
      <c r="C37" s="450"/>
      <c r="D37" s="102">
        <v>8886</v>
      </c>
      <c r="E37" s="330">
        <v>0.95</v>
      </c>
      <c r="F37" s="17">
        <f t="shared" si="1"/>
        <v>7153.98</v>
      </c>
      <c r="G37" s="21">
        <f t="shared" si="4"/>
        <v>1287.72</v>
      </c>
      <c r="H37" s="118">
        <f>D37*E37</f>
        <v>8441.7</v>
      </c>
      <c r="I37" s="71"/>
      <c r="J37" s="22"/>
      <c r="K37" s="26"/>
      <c r="L37" s="23"/>
      <c r="M37" s="23"/>
      <c r="N37" s="25"/>
      <c r="O37" s="26"/>
      <c r="P37" s="5"/>
      <c r="Q37" s="99"/>
      <c r="R37" s="100"/>
      <c r="S37" s="5"/>
      <c r="T37" s="5"/>
      <c r="U37" s="5"/>
      <c r="V37" s="5"/>
    </row>
    <row r="38" spans="1:22" ht="12" customHeight="1">
      <c r="A38" s="265" t="s">
        <v>148</v>
      </c>
      <c r="B38" s="36" t="s">
        <v>78</v>
      </c>
      <c r="C38" s="448" t="s">
        <v>130</v>
      </c>
      <c r="D38" s="102">
        <v>9956</v>
      </c>
      <c r="E38" s="237">
        <v>2.68</v>
      </c>
      <c r="F38" s="17">
        <f t="shared" si="1"/>
        <v>22611.93</v>
      </c>
      <c r="G38" s="21">
        <f t="shared" si="4"/>
        <v>4070.15</v>
      </c>
      <c r="H38" s="118">
        <f>D38*E38</f>
        <v>26682.08</v>
      </c>
      <c r="I38" s="71"/>
      <c r="J38" s="22"/>
      <c r="K38" s="461"/>
      <c r="L38" s="23"/>
      <c r="M38" s="23"/>
      <c r="N38" s="25"/>
      <c r="O38" s="26"/>
      <c r="P38" s="5"/>
      <c r="Q38" s="99"/>
      <c r="R38" s="100"/>
      <c r="S38" s="5"/>
      <c r="T38" s="5"/>
      <c r="U38" s="5"/>
      <c r="V38" s="5"/>
    </row>
    <row r="39" spans="1:22" ht="15" customHeight="1">
      <c r="A39" s="265" t="s">
        <v>149</v>
      </c>
      <c r="B39" s="36" t="s">
        <v>332</v>
      </c>
      <c r="C39" s="449"/>
      <c r="D39" s="102">
        <v>377</v>
      </c>
      <c r="E39" s="2">
        <v>1.91</v>
      </c>
      <c r="F39" s="17">
        <f t="shared" si="1"/>
        <v>610.23</v>
      </c>
      <c r="G39" s="21">
        <f t="shared" si="4"/>
        <v>109.84</v>
      </c>
      <c r="H39" s="118">
        <f>D39*E39</f>
        <v>720.07</v>
      </c>
      <c r="I39" s="71"/>
      <c r="J39" s="22"/>
      <c r="K39" s="461"/>
      <c r="L39" s="23"/>
      <c r="M39" s="23"/>
      <c r="N39" s="25"/>
      <c r="O39" s="26"/>
      <c r="P39" s="170"/>
      <c r="Q39" s="99"/>
      <c r="R39" s="100"/>
      <c r="S39" s="89"/>
      <c r="T39" s="89"/>
      <c r="U39" s="5"/>
      <c r="V39" s="5"/>
    </row>
    <row r="40" spans="1:22" ht="15" customHeight="1">
      <c r="A40" s="265" t="s">
        <v>150</v>
      </c>
      <c r="B40" s="36" t="s">
        <v>332</v>
      </c>
      <c r="C40" s="450"/>
      <c r="D40" s="102">
        <v>194</v>
      </c>
      <c r="E40" s="2">
        <v>0.95</v>
      </c>
      <c r="F40" s="17">
        <f t="shared" si="1"/>
        <v>156.19</v>
      </c>
      <c r="G40" s="21">
        <f t="shared" si="4"/>
        <v>28.11</v>
      </c>
      <c r="H40" s="118">
        <f t="shared" si="3"/>
        <v>184.3</v>
      </c>
      <c r="I40" s="71"/>
      <c r="J40" s="22"/>
      <c r="K40" s="326"/>
      <c r="L40" s="23"/>
      <c r="M40" s="23"/>
      <c r="N40" s="25"/>
      <c r="O40" s="26"/>
      <c r="P40" s="170"/>
      <c r="Q40" s="99"/>
      <c r="R40" s="100"/>
      <c r="S40" s="89"/>
      <c r="T40" s="89"/>
      <c r="U40" s="5"/>
      <c r="V40" s="5"/>
    </row>
    <row r="41" spans="1:22" s="40" customFormat="1" ht="12" customHeight="1">
      <c r="A41" s="265" t="s">
        <v>151</v>
      </c>
      <c r="B41" s="38" t="s">
        <v>47</v>
      </c>
      <c r="C41" s="448" t="s">
        <v>135</v>
      </c>
      <c r="D41" s="102">
        <f>1319.54</f>
        <v>1319.54</v>
      </c>
      <c r="E41" s="2">
        <v>1.36</v>
      </c>
      <c r="F41" s="17">
        <f t="shared" si="1"/>
        <v>1520.82</v>
      </c>
      <c r="G41" s="21">
        <f>H41/6.5555555</f>
        <v>273.75</v>
      </c>
      <c r="H41" s="118">
        <f t="shared" si="3"/>
        <v>1794.57</v>
      </c>
      <c r="I41" s="71"/>
      <c r="J41" s="22"/>
      <c r="K41" s="39"/>
      <c r="L41" s="23"/>
      <c r="M41" s="23"/>
      <c r="N41" s="25"/>
      <c r="O41" s="39"/>
      <c r="P41" s="39"/>
      <c r="Q41" s="99"/>
      <c r="R41" s="100"/>
      <c r="S41" s="39"/>
      <c r="T41" s="39"/>
      <c r="U41" s="39"/>
      <c r="V41" s="39"/>
    </row>
    <row r="42" spans="1:22" s="40" customFormat="1" ht="12" customHeight="1">
      <c r="A42" s="265" t="s">
        <v>152</v>
      </c>
      <c r="B42" s="36" t="s">
        <v>46</v>
      </c>
      <c r="C42" s="449"/>
      <c r="D42" s="102">
        <f>1640.3+382</f>
        <v>2022.3</v>
      </c>
      <c r="E42" s="2">
        <v>2.73</v>
      </c>
      <c r="F42" s="17">
        <f t="shared" si="1"/>
        <v>4678.71</v>
      </c>
      <c r="G42" s="21">
        <f>H42/6.5555555</f>
        <v>842.17</v>
      </c>
      <c r="H42" s="118">
        <f t="shared" si="3"/>
        <v>5520.88</v>
      </c>
      <c r="I42" s="71"/>
      <c r="J42" s="22"/>
      <c r="K42" s="39"/>
      <c r="L42" s="23"/>
      <c r="M42" s="23"/>
      <c r="N42" s="25"/>
      <c r="O42" s="39"/>
      <c r="P42" s="39"/>
      <c r="Q42" s="99"/>
      <c r="R42" s="100"/>
      <c r="S42" s="39"/>
      <c r="T42" s="39"/>
      <c r="U42" s="39"/>
      <c r="V42" s="39"/>
    </row>
    <row r="43" spans="1:22" s="40" customFormat="1" ht="12" customHeight="1">
      <c r="A43" s="265" t="s">
        <v>153</v>
      </c>
      <c r="B43" s="36" t="s">
        <v>46</v>
      </c>
      <c r="C43" s="449"/>
      <c r="D43" s="102">
        <f>860+2989+95.54</f>
        <v>3944.54</v>
      </c>
      <c r="E43" s="2">
        <v>2.68</v>
      </c>
      <c r="F43" s="17">
        <f>H43-G43</f>
        <v>8958.79</v>
      </c>
      <c r="G43" s="21">
        <f>H43/6.5555555+0.01</f>
        <v>1612.59</v>
      </c>
      <c r="H43" s="118">
        <f>D43*E43+0.01</f>
        <v>10571.38</v>
      </c>
      <c r="I43" s="71"/>
      <c r="J43" s="22"/>
      <c r="K43" s="39"/>
      <c r="L43" s="23"/>
      <c r="M43" s="23"/>
      <c r="N43" s="25"/>
      <c r="O43" s="39"/>
      <c r="P43" s="39"/>
      <c r="Q43" s="99"/>
      <c r="R43" s="100"/>
      <c r="S43" s="39"/>
      <c r="T43" s="39"/>
      <c r="U43" s="39"/>
      <c r="V43" s="39"/>
    </row>
    <row r="44" spans="1:22" s="40" customFormat="1" ht="12" customHeight="1">
      <c r="A44" s="265" t="s">
        <v>154</v>
      </c>
      <c r="B44" s="36" t="s">
        <v>46</v>
      </c>
      <c r="C44" s="449"/>
      <c r="D44" s="102">
        <f>8017</f>
        <v>8017</v>
      </c>
      <c r="E44" s="2">
        <v>1.91</v>
      </c>
      <c r="F44" s="17">
        <f t="shared" si="1"/>
        <v>12976.67</v>
      </c>
      <c r="G44" s="21">
        <f t="shared" si="4"/>
        <v>2335.8</v>
      </c>
      <c r="H44" s="118">
        <f t="shared" si="3"/>
        <v>15312.47</v>
      </c>
      <c r="I44" s="71"/>
      <c r="J44" s="22"/>
      <c r="K44" s="41"/>
      <c r="L44" s="23"/>
      <c r="M44" s="23"/>
      <c r="N44" s="25"/>
      <c r="O44" s="39"/>
      <c r="P44" s="39"/>
      <c r="Q44" s="99"/>
      <c r="R44" s="100"/>
      <c r="S44" s="39"/>
      <c r="T44" s="39"/>
      <c r="U44" s="39"/>
      <c r="V44" s="39"/>
    </row>
    <row r="45" spans="1:22" s="40" customFormat="1" ht="12" customHeight="1">
      <c r="A45" s="265" t="s">
        <v>155</v>
      </c>
      <c r="B45" s="38" t="s">
        <v>47</v>
      </c>
      <c r="C45" s="449"/>
      <c r="D45" s="102">
        <f>2617.08</f>
        <v>2617.08</v>
      </c>
      <c r="E45" s="2">
        <v>0.95</v>
      </c>
      <c r="F45" s="17">
        <f t="shared" si="1"/>
        <v>2106.97</v>
      </c>
      <c r="G45" s="2">
        <f t="shared" si="4"/>
        <v>379.26</v>
      </c>
      <c r="H45" s="394">
        <f t="shared" si="3"/>
        <v>2486.23</v>
      </c>
      <c r="I45" s="71"/>
      <c r="J45" s="22"/>
      <c r="K45" s="41"/>
      <c r="L45" s="23"/>
      <c r="M45" s="23"/>
      <c r="N45" s="25"/>
      <c r="O45" s="39"/>
      <c r="P45" s="39"/>
      <c r="Q45" s="99"/>
      <c r="R45" s="100"/>
      <c r="S45" s="39"/>
      <c r="T45" s="39"/>
      <c r="U45" s="39"/>
      <c r="V45" s="39"/>
    </row>
    <row r="46" spans="1:22" s="40" customFormat="1" ht="14.25" customHeight="1">
      <c r="A46" s="265" t="s">
        <v>98</v>
      </c>
      <c r="B46" s="36" t="s">
        <v>345</v>
      </c>
      <c r="C46" s="449"/>
      <c r="D46" s="102">
        <f>1551</f>
        <v>1551</v>
      </c>
      <c r="E46" s="2">
        <v>1.88</v>
      </c>
      <c r="F46" s="17">
        <f t="shared" si="1"/>
        <v>2471.08</v>
      </c>
      <c r="G46" s="21">
        <f>H46/6.5555555</f>
        <v>444.8</v>
      </c>
      <c r="H46" s="118">
        <f t="shared" si="3"/>
        <v>2915.88</v>
      </c>
      <c r="I46" s="71"/>
      <c r="J46" s="22"/>
      <c r="K46" s="41"/>
      <c r="L46" s="23"/>
      <c r="M46" s="23"/>
      <c r="N46" s="25"/>
      <c r="O46" s="39"/>
      <c r="P46" s="39"/>
      <c r="Q46" s="99"/>
      <c r="R46" s="100"/>
      <c r="S46" s="39"/>
      <c r="T46" s="39"/>
      <c r="U46" s="39"/>
      <c r="V46" s="39"/>
    </row>
    <row r="47" spans="1:22" s="40" customFormat="1" ht="24.75" customHeight="1">
      <c r="A47" s="265" t="s">
        <v>99</v>
      </c>
      <c r="B47" s="36" t="s">
        <v>344</v>
      </c>
      <c r="C47" s="449"/>
      <c r="D47" s="102">
        <f>590.77+124.15</f>
        <v>714.92</v>
      </c>
      <c r="E47" s="2">
        <v>1.88</v>
      </c>
      <c r="F47" s="17">
        <f t="shared" si="1"/>
        <v>1139.03</v>
      </c>
      <c r="G47" s="21">
        <f>H47/6.5555555</f>
        <v>205.02</v>
      </c>
      <c r="H47" s="118">
        <f t="shared" si="3"/>
        <v>1344.05</v>
      </c>
      <c r="I47" s="71"/>
      <c r="J47" s="22"/>
      <c r="K47" s="41"/>
      <c r="L47" s="23"/>
      <c r="M47" s="23"/>
      <c r="N47" s="25"/>
      <c r="O47" s="39"/>
      <c r="P47" s="39"/>
      <c r="Q47" s="99"/>
      <c r="R47" s="100"/>
      <c r="S47" s="39"/>
      <c r="T47" s="39"/>
      <c r="U47" s="39"/>
      <c r="V47" s="39"/>
    </row>
    <row r="48" spans="1:22" s="40" customFormat="1" ht="24" customHeight="1">
      <c r="A48" s="265" t="s">
        <v>90</v>
      </c>
      <c r="B48" s="36" t="s">
        <v>344</v>
      </c>
      <c r="C48" s="449"/>
      <c r="D48" s="102">
        <f>120.16</f>
        <v>120.16</v>
      </c>
      <c r="E48" s="2">
        <v>2.68</v>
      </c>
      <c r="F48" s="17">
        <f t="shared" si="1"/>
        <v>272.91</v>
      </c>
      <c r="G48" s="21">
        <f t="shared" si="4"/>
        <v>49.12</v>
      </c>
      <c r="H48" s="118">
        <f t="shared" si="3"/>
        <v>322.03</v>
      </c>
      <c r="I48" s="71"/>
      <c r="J48" s="22"/>
      <c r="K48" s="41"/>
      <c r="L48" s="23"/>
      <c r="M48" s="23"/>
      <c r="N48" s="25"/>
      <c r="O48" s="39"/>
      <c r="P48" s="39"/>
      <c r="Q48" s="99"/>
      <c r="R48" s="100"/>
      <c r="S48" s="39"/>
      <c r="T48" s="39"/>
      <c r="U48" s="39"/>
      <c r="V48" s="39"/>
    </row>
    <row r="49" spans="1:22" s="40" customFormat="1" ht="22.5" customHeight="1">
      <c r="A49" s="265" t="s">
        <v>100</v>
      </c>
      <c r="B49" s="36" t="s">
        <v>312</v>
      </c>
      <c r="C49" s="448" t="s">
        <v>325</v>
      </c>
      <c r="D49" s="102">
        <v>9126.1</v>
      </c>
      <c r="E49" s="2">
        <v>2.68</v>
      </c>
      <c r="F49" s="17">
        <f t="shared" si="1"/>
        <v>20727.08</v>
      </c>
      <c r="G49" s="21">
        <f t="shared" si="4"/>
        <v>3730.87</v>
      </c>
      <c r="H49" s="118">
        <f t="shared" si="3"/>
        <v>24457.95</v>
      </c>
      <c r="I49" s="71"/>
      <c r="J49" s="22"/>
      <c r="K49" s="27"/>
      <c r="L49" s="23"/>
      <c r="M49" s="23"/>
      <c r="N49" s="25"/>
      <c r="O49" s="39"/>
      <c r="P49" s="39"/>
      <c r="Q49" s="99"/>
      <c r="R49" s="101"/>
      <c r="S49" s="39"/>
      <c r="T49" s="39"/>
      <c r="U49" s="39"/>
      <c r="V49" s="39"/>
    </row>
    <row r="50" spans="1:22" s="40" customFormat="1" ht="21.75" customHeight="1">
      <c r="A50" s="265" t="s">
        <v>101</v>
      </c>
      <c r="B50" s="36" t="s">
        <v>352</v>
      </c>
      <c r="C50" s="449"/>
      <c r="D50" s="102">
        <v>0</v>
      </c>
      <c r="E50" s="2">
        <v>1.88</v>
      </c>
      <c r="F50" s="17">
        <f t="shared" si="1"/>
        <v>0</v>
      </c>
      <c r="G50" s="21">
        <f t="shared" si="4"/>
        <v>0</v>
      </c>
      <c r="H50" s="118">
        <f>D50*E543</f>
        <v>0</v>
      </c>
      <c r="I50" s="71"/>
      <c r="J50" s="22"/>
      <c r="K50" s="27"/>
      <c r="L50" s="23"/>
      <c r="M50" s="23"/>
      <c r="N50" s="25"/>
      <c r="O50" s="39"/>
      <c r="P50" s="39"/>
      <c r="Q50" s="99"/>
      <c r="R50" s="101"/>
      <c r="S50" s="39"/>
      <c r="T50" s="39"/>
      <c r="U50" s="39"/>
      <c r="V50" s="39"/>
    </row>
    <row r="51" spans="1:22" s="40" customFormat="1" ht="17.25" customHeight="1">
      <c r="A51" s="265" t="s">
        <v>91</v>
      </c>
      <c r="B51" s="36" t="s">
        <v>313</v>
      </c>
      <c r="C51" s="449"/>
      <c r="D51" s="102">
        <v>0</v>
      </c>
      <c r="E51" s="2">
        <v>2.68</v>
      </c>
      <c r="F51" s="17">
        <f t="shared" si="1"/>
        <v>0</v>
      </c>
      <c r="G51" s="21">
        <f t="shared" si="4"/>
        <v>0</v>
      </c>
      <c r="H51" s="118">
        <f t="shared" si="3"/>
        <v>0</v>
      </c>
      <c r="I51" s="71"/>
      <c r="J51" s="22"/>
      <c r="K51" s="27"/>
      <c r="L51" s="23"/>
      <c r="M51" s="23"/>
      <c r="N51" s="25"/>
      <c r="O51" s="39"/>
      <c r="P51" s="39"/>
      <c r="Q51" s="39"/>
      <c r="R51" s="39"/>
      <c r="S51" s="39"/>
      <c r="T51" s="39"/>
      <c r="U51" s="39"/>
      <c r="V51" s="39"/>
    </row>
    <row r="52" spans="1:16" s="40" customFormat="1" ht="21" customHeight="1">
      <c r="A52" s="265" t="s">
        <v>96</v>
      </c>
      <c r="B52" s="36" t="s">
        <v>313</v>
      </c>
      <c r="C52" s="450"/>
      <c r="D52" s="102">
        <v>43116.89</v>
      </c>
      <c r="E52" s="2">
        <v>1.88</v>
      </c>
      <c r="F52" s="17">
        <f t="shared" si="1"/>
        <v>68694.7</v>
      </c>
      <c r="G52" s="21">
        <f t="shared" si="4"/>
        <v>12365.05</v>
      </c>
      <c r="H52" s="118">
        <f t="shared" si="3"/>
        <v>81059.75</v>
      </c>
      <c r="I52" s="71"/>
      <c r="J52" s="22"/>
      <c r="K52" s="27"/>
      <c r="L52" s="23"/>
      <c r="M52" s="23"/>
      <c r="N52" s="25"/>
      <c r="O52" s="39"/>
      <c r="P52" s="39"/>
    </row>
    <row r="53" spans="1:16" s="40" customFormat="1" ht="19.5" customHeight="1">
      <c r="A53" s="265" t="s">
        <v>354</v>
      </c>
      <c r="B53" s="36" t="s">
        <v>140</v>
      </c>
      <c r="C53" s="448" t="s">
        <v>209</v>
      </c>
      <c r="D53" s="102">
        <v>221692</v>
      </c>
      <c r="E53" s="2">
        <v>1.91</v>
      </c>
      <c r="F53" s="17">
        <f t="shared" si="1"/>
        <v>358840.44</v>
      </c>
      <c r="G53" s="21">
        <f>H53/6.5555555</f>
        <v>64591.28</v>
      </c>
      <c r="H53" s="118">
        <f t="shared" si="3"/>
        <v>423431.72</v>
      </c>
      <c r="I53" s="71"/>
      <c r="J53" s="22"/>
      <c r="K53" s="27"/>
      <c r="L53" s="23"/>
      <c r="M53" s="23"/>
      <c r="N53" s="25"/>
      <c r="O53" s="39"/>
      <c r="P53" s="39"/>
    </row>
    <row r="54" spans="1:16" s="40" customFormat="1" ht="17.25" customHeight="1">
      <c r="A54" s="265" t="s">
        <v>355</v>
      </c>
      <c r="B54" s="36" t="s">
        <v>140</v>
      </c>
      <c r="C54" s="449"/>
      <c r="D54" s="102">
        <v>67326</v>
      </c>
      <c r="E54" s="2">
        <v>0.95</v>
      </c>
      <c r="F54" s="17">
        <f t="shared" si="1"/>
        <v>54203.13</v>
      </c>
      <c r="G54" s="21">
        <f>H54/6.5555555+0.01</f>
        <v>9756.57</v>
      </c>
      <c r="H54" s="118">
        <f t="shared" si="3"/>
        <v>63959.7</v>
      </c>
      <c r="I54" s="71"/>
      <c r="J54" s="22"/>
      <c r="K54" s="27"/>
      <c r="L54" s="23"/>
      <c r="M54" s="23"/>
      <c r="N54" s="25"/>
      <c r="O54" s="39"/>
      <c r="P54" s="39"/>
    </row>
    <row r="55" spans="1:16" s="40" customFormat="1" ht="17.25" customHeight="1">
      <c r="A55" s="265" t="s">
        <v>158</v>
      </c>
      <c r="B55" s="36" t="s">
        <v>140</v>
      </c>
      <c r="C55" s="450"/>
      <c r="D55" s="102">
        <v>846.31</v>
      </c>
      <c r="E55" s="2">
        <v>1.88</v>
      </c>
      <c r="F55" s="17">
        <f t="shared" si="1"/>
        <v>1348.36</v>
      </c>
      <c r="G55" s="21">
        <f>H55/6.5555555</f>
        <v>242.7</v>
      </c>
      <c r="H55" s="118">
        <f t="shared" si="3"/>
        <v>1591.06</v>
      </c>
      <c r="I55" s="71"/>
      <c r="J55" s="22"/>
      <c r="K55" s="27"/>
      <c r="L55" s="23"/>
      <c r="M55" s="23"/>
      <c r="N55" s="25"/>
      <c r="O55" s="39"/>
      <c r="P55" s="39"/>
    </row>
    <row r="56" spans="1:16" ht="12" customHeight="1">
      <c r="A56" s="265" t="s">
        <v>159</v>
      </c>
      <c r="B56" s="38" t="s">
        <v>107</v>
      </c>
      <c r="C56" s="448" t="s">
        <v>127</v>
      </c>
      <c r="D56" s="102">
        <v>12132</v>
      </c>
      <c r="E56" s="2">
        <v>1.88</v>
      </c>
      <c r="F56" s="17">
        <f t="shared" si="1"/>
        <v>19328.95</v>
      </c>
      <c r="G56" s="21">
        <f t="shared" si="4"/>
        <v>3479.21</v>
      </c>
      <c r="H56" s="118">
        <f t="shared" si="3"/>
        <v>22808.16</v>
      </c>
      <c r="I56" s="71"/>
      <c r="J56" s="22"/>
      <c r="K56" s="25"/>
      <c r="L56" s="23"/>
      <c r="M56" s="23"/>
      <c r="N56" s="25"/>
      <c r="O56" s="26"/>
      <c r="P56" s="5"/>
    </row>
    <row r="57" spans="1:16" ht="12" customHeight="1">
      <c r="A57" s="265" t="s">
        <v>160</v>
      </c>
      <c r="B57" s="38" t="s">
        <v>107</v>
      </c>
      <c r="C57" s="449"/>
      <c r="D57" s="102">
        <v>3624</v>
      </c>
      <c r="E57" s="2">
        <v>2.68</v>
      </c>
      <c r="F57" s="17">
        <f t="shared" si="1"/>
        <v>8230.78</v>
      </c>
      <c r="G57" s="21">
        <f t="shared" si="4"/>
        <v>1481.54</v>
      </c>
      <c r="H57" s="118">
        <f t="shared" si="3"/>
        <v>9712.32</v>
      </c>
      <c r="I57" s="71"/>
      <c r="J57" s="22"/>
      <c r="K57" s="324"/>
      <c r="L57" s="23"/>
      <c r="M57" s="23"/>
      <c r="N57" s="25"/>
      <c r="O57" s="28"/>
      <c r="P57" s="43"/>
    </row>
    <row r="58" spans="1:16" s="48" customFormat="1" ht="12" customHeight="1">
      <c r="A58" s="457" t="s">
        <v>161</v>
      </c>
      <c r="B58" s="472" t="s">
        <v>141</v>
      </c>
      <c r="C58" s="445" t="s">
        <v>327</v>
      </c>
      <c r="D58" s="348">
        <v>15617</v>
      </c>
      <c r="E58" s="82">
        <v>2.68</v>
      </c>
      <c r="F58" s="85">
        <f t="shared" si="1"/>
        <v>35469.12</v>
      </c>
      <c r="G58" s="83">
        <f t="shared" si="4"/>
        <v>6384.44</v>
      </c>
      <c r="H58" s="268">
        <f t="shared" si="3"/>
        <v>41853.56</v>
      </c>
      <c r="I58" s="252"/>
      <c r="J58" s="31"/>
      <c r="K58" s="45"/>
      <c r="L58" s="46"/>
      <c r="M58" s="46"/>
      <c r="N58" s="47"/>
      <c r="O58" s="45"/>
      <c r="P58" s="45"/>
    </row>
    <row r="59" spans="1:16" s="48" customFormat="1" ht="12.75" customHeight="1">
      <c r="A59" s="458"/>
      <c r="B59" s="473"/>
      <c r="C59" s="446"/>
      <c r="D59" s="348">
        <v>0</v>
      </c>
      <c r="E59" s="82">
        <v>2.73</v>
      </c>
      <c r="F59" s="85">
        <f t="shared" si="1"/>
        <v>0</v>
      </c>
      <c r="G59" s="83">
        <f t="shared" si="4"/>
        <v>0</v>
      </c>
      <c r="H59" s="268">
        <f t="shared" si="3"/>
        <v>0</v>
      </c>
      <c r="I59" s="252"/>
      <c r="J59" s="31"/>
      <c r="K59" s="45"/>
      <c r="L59" s="46"/>
      <c r="M59" s="46"/>
      <c r="N59" s="47"/>
      <c r="O59" s="45"/>
      <c r="P59" s="45"/>
    </row>
    <row r="60" spans="1:16" s="48" customFormat="1" ht="13.5" customHeight="1">
      <c r="A60" s="459"/>
      <c r="B60" s="474"/>
      <c r="C60" s="447"/>
      <c r="D60" s="348">
        <v>0</v>
      </c>
      <c r="E60" s="82">
        <v>1.36</v>
      </c>
      <c r="F60" s="85">
        <f t="shared" si="1"/>
        <v>0</v>
      </c>
      <c r="G60" s="83">
        <f t="shared" si="4"/>
        <v>0</v>
      </c>
      <c r="H60" s="268">
        <f t="shared" si="3"/>
        <v>0</v>
      </c>
      <c r="I60" s="252"/>
      <c r="J60" s="31"/>
      <c r="K60" s="84"/>
      <c r="L60" s="46"/>
      <c r="M60" s="46"/>
      <c r="N60" s="47"/>
      <c r="O60" s="45"/>
      <c r="P60" s="45"/>
    </row>
    <row r="61" spans="1:16" s="48" customFormat="1" ht="25.5" customHeight="1">
      <c r="A61" s="267" t="s">
        <v>162</v>
      </c>
      <c r="B61" s="396" t="s">
        <v>142</v>
      </c>
      <c r="C61" s="397" t="s">
        <v>208</v>
      </c>
      <c r="D61" s="348">
        <v>1038</v>
      </c>
      <c r="E61" s="82">
        <v>2.68</v>
      </c>
      <c r="F61" s="85">
        <f t="shared" si="1"/>
        <v>2357.49</v>
      </c>
      <c r="G61" s="83">
        <f t="shared" si="4"/>
        <v>424.35</v>
      </c>
      <c r="H61" s="268">
        <f t="shared" si="3"/>
        <v>2781.84</v>
      </c>
      <c r="I61" s="252"/>
      <c r="J61" s="31"/>
      <c r="K61" s="45"/>
      <c r="L61" s="46"/>
      <c r="M61" s="46"/>
      <c r="N61" s="47"/>
      <c r="O61" s="45"/>
      <c r="P61" s="45"/>
    </row>
    <row r="62" spans="1:16" s="48" customFormat="1" ht="12" customHeight="1">
      <c r="A62" s="429" t="s">
        <v>163</v>
      </c>
      <c r="B62" s="455" t="s">
        <v>143</v>
      </c>
      <c r="C62" s="456" t="s">
        <v>326</v>
      </c>
      <c r="D62" s="348">
        <v>432</v>
      </c>
      <c r="E62" s="82">
        <v>2.73</v>
      </c>
      <c r="F62" s="85">
        <f t="shared" si="1"/>
        <v>999.46</v>
      </c>
      <c r="G62" s="82">
        <f t="shared" si="4"/>
        <v>179.9</v>
      </c>
      <c r="H62" s="268">
        <f t="shared" si="3"/>
        <v>1179.36</v>
      </c>
      <c r="I62" s="253"/>
      <c r="J62" s="31"/>
      <c r="K62" s="45"/>
      <c r="L62" s="46"/>
      <c r="M62" s="46"/>
      <c r="N62" s="47"/>
      <c r="O62" s="45"/>
      <c r="P62" s="45"/>
    </row>
    <row r="63" spans="1:16" s="48" customFormat="1" ht="13.5" customHeight="1">
      <c r="A63" s="431"/>
      <c r="B63" s="455"/>
      <c r="C63" s="456"/>
      <c r="D63" s="348">
        <v>49</v>
      </c>
      <c r="E63" s="82">
        <v>1.36</v>
      </c>
      <c r="F63" s="85">
        <f t="shared" si="1"/>
        <v>56.47</v>
      </c>
      <c r="G63" s="82">
        <f t="shared" si="4"/>
        <v>10.17</v>
      </c>
      <c r="H63" s="268">
        <f t="shared" si="3"/>
        <v>66.64</v>
      </c>
      <c r="I63" s="253"/>
      <c r="J63" s="31"/>
      <c r="K63" s="84"/>
      <c r="L63" s="46"/>
      <c r="M63" s="46"/>
      <c r="N63" s="47"/>
      <c r="O63" s="45"/>
      <c r="P63" s="45"/>
    </row>
    <row r="64" spans="1:16" ht="15.75" customHeight="1">
      <c r="A64" s="267" t="s">
        <v>164</v>
      </c>
      <c r="B64" s="49" t="s">
        <v>76</v>
      </c>
      <c r="C64" s="424" t="s">
        <v>133</v>
      </c>
      <c r="D64" s="102">
        <f>15652</f>
        <v>15652</v>
      </c>
      <c r="E64" s="2">
        <v>2.73</v>
      </c>
      <c r="F64" s="17">
        <f t="shared" si="1"/>
        <v>36211.83</v>
      </c>
      <c r="G64" s="21">
        <f aca="true" t="shared" si="5" ref="G64:G70">H64/6.5555555</f>
        <v>6518.13</v>
      </c>
      <c r="H64" s="118">
        <f>D64*E64</f>
        <v>42729.96</v>
      </c>
      <c r="I64" s="71"/>
      <c r="J64" s="22"/>
      <c r="K64" s="24"/>
      <c r="L64" s="23"/>
      <c r="M64" s="23"/>
      <c r="N64" s="25"/>
      <c r="O64" s="26"/>
      <c r="P64" s="5"/>
    </row>
    <row r="65" spans="1:16" ht="15.75" customHeight="1">
      <c r="A65" s="267" t="s">
        <v>165</v>
      </c>
      <c r="B65" s="49" t="s">
        <v>80</v>
      </c>
      <c r="C65" s="426"/>
      <c r="D65" s="102">
        <v>1490.223</v>
      </c>
      <c r="E65" s="2">
        <v>2.68</v>
      </c>
      <c r="F65" s="17">
        <f t="shared" si="1"/>
        <v>3384.58</v>
      </c>
      <c r="G65" s="21">
        <f t="shared" si="5"/>
        <v>609.22</v>
      </c>
      <c r="H65" s="118">
        <f aca="true" t="shared" si="6" ref="H65:H127">D65*E65</f>
        <v>3993.8</v>
      </c>
      <c r="I65" s="71"/>
      <c r="J65" s="22"/>
      <c r="K65" s="24"/>
      <c r="L65" s="23"/>
      <c r="M65" s="23"/>
      <c r="N65" s="25"/>
      <c r="O65" s="26"/>
      <c r="P65" s="5"/>
    </row>
    <row r="66" spans="1:16" ht="15.75" customHeight="1">
      <c r="A66" s="267" t="s">
        <v>166</v>
      </c>
      <c r="B66" s="49" t="s">
        <v>77</v>
      </c>
      <c r="C66" s="426"/>
      <c r="D66" s="102">
        <f>5668</f>
        <v>5668</v>
      </c>
      <c r="E66" s="2">
        <v>1.36</v>
      </c>
      <c r="F66" s="17">
        <f t="shared" si="1"/>
        <v>6532.61</v>
      </c>
      <c r="G66" s="21">
        <f t="shared" si="5"/>
        <v>1175.87</v>
      </c>
      <c r="H66" s="118">
        <f t="shared" si="6"/>
        <v>7708.48</v>
      </c>
      <c r="I66" s="71"/>
      <c r="J66" s="22"/>
      <c r="K66" s="24"/>
      <c r="L66" s="23"/>
      <c r="M66" s="23"/>
      <c r="N66" s="25"/>
      <c r="O66" s="26"/>
      <c r="P66" s="5"/>
    </row>
    <row r="67" spans="1:16" ht="15.75" customHeight="1">
      <c r="A67" s="267" t="s">
        <v>167</v>
      </c>
      <c r="B67" s="49" t="s">
        <v>76</v>
      </c>
      <c r="C67" s="426"/>
      <c r="D67" s="102">
        <f>166248+23656.293</f>
        <v>189904.293</v>
      </c>
      <c r="E67" s="2">
        <v>1.91</v>
      </c>
      <c r="F67" s="17">
        <f t="shared" si="1"/>
        <v>307387.46</v>
      </c>
      <c r="G67" s="21">
        <f t="shared" si="5"/>
        <v>55329.74</v>
      </c>
      <c r="H67" s="118">
        <f t="shared" si="6"/>
        <v>362717.2</v>
      </c>
      <c r="I67" s="71"/>
      <c r="J67" s="22"/>
      <c r="K67" s="28"/>
      <c r="L67" s="23"/>
      <c r="M67" s="23"/>
      <c r="N67" s="25"/>
      <c r="O67" s="26"/>
      <c r="P67" s="5"/>
    </row>
    <row r="68" spans="1:16" s="1" customFormat="1" ht="15.75" customHeight="1">
      <c r="A68" s="267" t="s">
        <v>168</v>
      </c>
      <c r="B68" s="49" t="s">
        <v>80</v>
      </c>
      <c r="C68" s="426"/>
      <c r="D68" s="102">
        <v>20927.962</v>
      </c>
      <c r="E68" s="2">
        <v>1.88</v>
      </c>
      <c r="F68" s="17">
        <f t="shared" si="1"/>
        <v>33342.86</v>
      </c>
      <c r="G68" s="21">
        <f t="shared" si="5"/>
        <v>6001.71</v>
      </c>
      <c r="H68" s="118">
        <f t="shared" si="6"/>
        <v>39344.57</v>
      </c>
      <c r="I68" s="30"/>
      <c r="J68" s="58"/>
      <c r="K68" s="59"/>
      <c r="L68" s="60"/>
      <c r="M68" s="60"/>
      <c r="N68" s="61"/>
      <c r="O68" s="32"/>
      <c r="P68" s="32"/>
    </row>
    <row r="69" spans="1:16" ht="15.75" customHeight="1">
      <c r="A69" s="267" t="s">
        <v>169</v>
      </c>
      <c r="B69" s="49" t="s">
        <v>77</v>
      </c>
      <c r="C69" s="425"/>
      <c r="D69" s="102">
        <f>80666+9759.336</f>
        <v>90425.336</v>
      </c>
      <c r="E69" s="2">
        <v>0.95</v>
      </c>
      <c r="F69" s="17">
        <f t="shared" si="1"/>
        <v>72800.06</v>
      </c>
      <c r="G69" s="21">
        <f t="shared" si="5"/>
        <v>13104.01</v>
      </c>
      <c r="H69" s="118">
        <f>D69*E69</f>
        <v>85904.07</v>
      </c>
      <c r="I69" s="71"/>
      <c r="J69" s="22"/>
      <c r="K69" s="24"/>
      <c r="L69" s="23"/>
      <c r="M69" s="23"/>
      <c r="N69" s="25"/>
      <c r="O69" s="26"/>
      <c r="P69" s="5"/>
    </row>
    <row r="70" spans="1:16" ht="24" customHeight="1">
      <c r="A70" s="267" t="s">
        <v>170</v>
      </c>
      <c r="B70" s="49" t="s">
        <v>296</v>
      </c>
      <c r="C70" s="424" t="s">
        <v>331</v>
      </c>
      <c r="D70" s="102">
        <v>9867.648</v>
      </c>
      <c r="E70" s="2">
        <v>2.68</v>
      </c>
      <c r="F70" s="17">
        <f>H70-G70</f>
        <v>22411.27</v>
      </c>
      <c r="G70" s="21">
        <f t="shared" si="5"/>
        <v>4034.03</v>
      </c>
      <c r="H70" s="118">
        <f>D70*E70</f>
        <v>26445.3</v>
      </c>
      <c r="I70" s="71"/>
      <c r="J70" s="22"/>
      <c r="K70" s="24"/>
      <c r="L70" s="23"/>
      <c r="M70" s="23"/>
      <c r="N70" s="25"/>
      <c r="O70" s="26"/>
      <c r="P70" s="5"/>
    </row>
    <row r="71" spans="1:16" ht="22.5" customHeight="1">
      <c r="A71" s="267" t="s">
        <v>171</v>
      </c>
      <c r="B71" s="49" t="s">
        <v>297</v>
      </c>
      <c r="C71" s="426"/>
      <c r="D71" s="102">
        <v>10144.16</v>
      </c>
      <c r="E71" s="2">
        <v>2.68</v>
      </c>
      <c r="F71" s="17">
        <f>H71-G71</f>
        <v>23039.28</v>
      </c>
      <c r="G71" s="21">
        <f>H71/6.5555555</f>
        <v>4147.07</v>
      </c>
      <c r="H71" s="118">
        <f>D71*E71</f>
        <v>27186.35</v>
      </c>
      <c r="I71" s="71"/>
      <c r="J71" s="22"/>
      <c r="K71" s="24"/>
      <c r="L71" s="23"/>
      <c r="M71" s="23"/>
      <c r="N71" s="25"/>
      <c r="O71" s="26"/>
      <c r="P71" s="5"/>
    </row>
    <row r="72" spans="1:16" ht="24" customHeight="1">
      <c r="A72" s="267" t="s">
        <v>172</v>
      </c>
      <c r="B72" s="49" t="s">
        <v>297</v>
      </c>
      <c r="C72" s="426"/>
      <c r="D72" s="102">
        <v>19529.879</v>
      </c>
      <c r="E72" s="391">
        <v>1.88</v>
      </c>
      <c r="F72" s="17">
        <f>H72-G72</f>
        <v>31115.4</v>
      </c>
      <c r="G72" s="21">
        <f>H72/6.5555555</f>
        <v>5600.77</v>
      </c>
      <c r="H72" s="118">
        <f>D72*E72</f>
        <v>36716.17</v>
      </c>
      <c r="I72" s="30"/>
      <c r="J72" s="22"/>
      <c r="K72" s="336"/>
      <c r="L72" s="23"/>
      <c r="M72" s="23"/>
      <c r="N72" s="25"/>
      <c r="O72" s="26"/>
      <c r="P72" s="5"/>
    </row>
    <row r="73" spans="1:16" ht="12" customHeight="1">
      <c r="A73" s="267" t="s">
        <v>173</v>
      </c>
      <c r="B73" s="233" t="s">
        <v>106</v>
      </c>
      <c r="C73" s="424" t="s">
        <v>125</v>
      </c>
      <c r="D73" s="102">
        <v>47663</v>
      </c>
      <c r="E73" s="234">
        <v>1.91</v>
      </c>
      <c r="F73" s="17">
        <f aca="true" t="shared" si="7" ref="F73:F127">H73-G73</f>
        <v>77149.43</v>
      </c>
      <c r="G73" s="21">
        <f>H73/6.5555555</f>
        <v>13886.9</v>
      </c>
      <c r="H73" s="118">
        <f>D73*E73</f>
        <v>91036.33</v>
      </c>
      <c r="I73" s="71"/>
      <c r="J73" s="67"/>
      <c r="K73" s="27"/>
      <c r="L73" s="23"/>
      <c r="M73" s="23"/>
      <c r="N73" s="25"/>
      <c r="O73" s="26"/>
      <c r="P73" s="5"/>
    </row>
    <row r="74" spans="1:16" ht="12" customHeight="1">
      <c r="A74" s="267" t="s">
        <v>174</v>
      </c>
      <c r="B74" s="233" t="s">
        <v>106</v>
      </c>
      <c r="C74" s="426"/>
      <c r="D74" s="102">
        <v>0</v>
      </c>
      <c r="E74" s="234">
        <v>1.88</v>
      </c>
      <c r="F74" s="17">
        <f t="shared" si="7"/>
        <v>0</v>
      </c>
      <c r="G74" s="21">
        <f aca="true" t="shared" si="8" ref="G74:G127">H74/6.5555555</f>
        <v>0</v>
      </c>
      <c r="H74" s="118">
        <f t="shared" si="6"/>
        <v>0</v>
      </c>
      <c r="I74" s="71"/>
      <c r="J74" s="67"/>
      <c r="K74" s="27"/>
      <c r="L74" s="23"/>
      <c r="M74" s="23"/>
      <c r="N74" s="25"/>
      <c r="O74" s="26"/>
      <c r="P74" s="5"/>
    </row>
    <row r="75" spans="1:16" ht="12" customHeight="1">
      <c r="A75" s="267" t="s">
        <v>175</v>
      </c>
      <c r="B75" s="233" t="s">
        <v>106</v>
      </c>
      <c r="C75" s="426"/>
      <c r="D75" s="102">
        <v>62769</v>
      </c>
      <c r="E75" s="234">
        <v>0.95</v>
      </c>
      <c r="F75" s="17">
        <f t="shared" si="7"/>
        <v>50534.36</v>
      </c>
      <c r="G75" s="21">
        <f t="shared" si="8"/>
        <v>9096.19</v>
      </c>
      <c r="H75" s="118">
        <f t="shared" si="6"/>
        <v>59630.55</v>
      </c>
      <c r="I75" s="71"/>
      <c r="J75" s="67"/>
      <c r="K75" s="27"/>
      <c r="L75" s="23"/>
      <c r="M75" s="23"/>
      <c r="N75" s="25"/>
      <c r="O75" s="26"/>
      <c r="P75" s="5"/>
    </row>
    <row r="76" spans="1:16" ht="12" customHeight="1">
      <c r="A76" s="267" t="s">
        <v>176</v>
      </c>
      <c r="B76" s="233" t="s">
        <v>106</v>
      </c>
      <c r="C76" s="426"/>
      <c r="D76" s="102">
        <f>14171+14465</f>
        <v>28636</v>
      </c>
      <c r="E76" s="234">
        <v>2.68</v>
      </c>
      <c r="F76" s="17">
        <f t="shared" si="7"/>
        <v>65037.69</v>
      </c>
      <c r="G76" s="21">
        <f>H76/6.5555555</f>
        <v>11706.79</v>
      </c>
      <c r="H76" s="118">
        <f t="shared" si="6"/>
        <v>76744.48</v>
      </c>
      <c r="I76" s="71"/>
      <c r="J76" s="67"/>
      <c r="K76" s="27"/>
      <c r="L76" s="23"/>
      <c r="M76" s="23"/>
      <c r="N76" s="25"/>
      <c r="O76" s="26"/>
      <c r="P76" s="5"/>
    </row>
    <row r="77" spans="1:16" ht="12" customHeight="1">
      <c r="A77" s="267" t="s">
        <v>177</v>
      </c>
      <c r="B77" s="233" t="s">
        <v>106</v>
      </c>
      <c r="C77" s="426"/>
      <c r="D77" s="102">
        <f>8686+1426</f>
        <v>10112</v>
      </c>
      <c r="E77" s="234">
        <v>2.73</v>
      </c>
      <c r="F77" s="17">
        <f t="shared" si="7"/>
        <v>23394.72</v>
      </c>
      <c r="G77" s="21">
        <f>H77/6.5555555-0.01</f>
        <v>4211.04</v>
      </c>
      <c r="H77" s="118">
        <f t="shared" si="6"/>
        <v>27605.76</v>
      </c>
      <c r="I77" s="71"/>
      <c r="J77" s="67"/>
      <c r="K77" s="27"/>
      <c r="L77" s="23"/>
      <c r="M77" s="23"/>
      <c r="N77" s="25"/>
      <c r="O77" s="26"/>
      <c r="P77" s="5"/>
    </row>
    <row r="78" spans="1:16" ht="12" customHeight="1">
      <c r="A78" s="267" t="s">
        <v>178</v>
      </c>
      <c r="B78" s="395" t="s">
        <v>106</v>
      </c>
      <c r="C78" s="426"/>
      <c r="D78" s="102">
        <f>6320+666</f>
        <v>6986</v>
      </c>
      <c r="E78" s="236">
        <v>1.36</v>
      </c>
      <c r="F78" s="297">
        <f t="shared" si="7"/>
        <v>8051.66</v>
      </c>
      <c r="G78" s="298">
        <f>H78/6.5555555</f>
        <v>1449.3</v>
      </c>
      <c r="H78" s="299">
        <f t="shared" si="6"/>
        <v>9500.96</v>
      </c>
      <c r="I78" s="71"/>
      <c r="J78" s="67"/>
      <c r="K78" s="27"/>
      <c r="L78" s="23"/>
      <c r="M78" s="23"/>
      <c r="N78" s="25"/>
      <c r="O78" s="26"/>
      <c r="P78" s="5"/>
    </row>
    <row r="79" spans="1:16" s="56" customFormat="1" ht="12" customHeight="1">
      <c r="A79" s="267" t="s">
        <v>179</v>
      </c>
      <c r="B79" s="392" t="s">
        <v>105</v>
      </c>
      <c r="C79" s="423" t="s">
        <v>126</v>
      </c>
      <c r="D79" s="102">
        <v>3441</v>
      </c>
      <c r="E79" s="234">
        <v>2.68</v>
      </c>
      <c r="F79" s="234">
        <f t="shared" si="7"/>
        <v>7815.15</v>
      </c>
      <c r="G79" s="393">
        <f t="shared" si="8"/>
        <v>1406.73</v>
      </c>
      <c r="H79" s="401">
        <f t="shared" si="6"/>
        <v>9221.88</v>
      </c>
      <c r="I79" s="254"/>
      <c r="J79" s="67"/>
      <c r="K79" s="68"/>
      <c r="L79" s="52"/>
      <c r="M79" s="52"/>
      <c r="N79" s="69"/>
      <c r="O79" s="55"/>
      <c r="P79" s="55"/>
    </row>
    <row r="80" spans="1:16" s="56" customFormat="1" ht="12" customHeight="1">
      <c r="A80" s="267" t="s">
        <v>180</v>
      </c>
      <c r="B80" s="392" t="s">
        <v>105</v>
      </c>
      <c r="C80" s="423"/>
      <c r="D80" s="102">
        <v>0</v>
      </c>
      <c r="E80" s="234">
        <v>2.73</v>
      </c>
      <c r="F80" s="234">
        <f t="shared" si="7"/>
        <v>0</v>
      </c>
      <c r="G80" s="393">
        <f t="shared" si="8"/>
        <v>0</v>
      </c>
      <c r="H80" s="401">
        <f t="shared" si="6"/>
        <v>0</v>
      </c>
      <c r="I80" s="254"/>
      <c r="J80" s="67"/>
      <c r="K80" s="68"/>
      <c r="L80" s="52"/>
      <c r="M80" s="52"/>
      <c r="N80" s="69"/>
      <c r="O80" s="55"/>
      <c r="P80" s="55"/>
    </row>
    <row r="81" spans="1:16" s="56" customFormat="1" ht="12" customHeight="1">
      <c r="A81" s="267" t="s">
        <v>181</v>
      </c>
      <c r="B81" s="392" t="s">
        <v>105</v>
      </c>
      <c r="C81" s="423"/>
      <c r="D81" s="102">
        <v>0</v>
      </c>
      <c r="E81" s="234">
        <v>1.36</v>
      </c>
      <c r="F81" s="234">
        <f t="shared" si="7"/>
        <v>0</v>
      </c>
      <c r="G81" s="393">
        <f t="shared" si="8"/>
        <v>0</v>
      </c>
      <c r="H81" s="401">
        <f t="shared" si="6"/>
        <v>0</v>
      </c>
      <c r="I81" s="254"/>
      <c r="J81" s="67"/>
      <c r="K81" s="68"/>
      <c r="L81" s="52"/>
      <c r="M81" s="52"/>
      <c r="N81" s="69"/>
      <c r="O81" s="55"/>
      <c r="P81" s="55"/>
    </row>
    <row r="82" spans="1:16" s="56" customFormat="1" ht="12" customHeight="1">
      <c r="A82" s="267" t="s">
        <v>182</v>
      </c>
      <c r="B82" s="392" t="s">
        <v>105</v>
      </c>
      <c r="C82" s="423"/>
      <c r="D82" s="102">
        <v>1511</v>
      </c>
      <c r="E82" s="234">
        <v>1.91</v>
      </c>
      <c r="F82" s="234">
        <f t="shared" si="7"/>
        <v>2445.77</v>
      </c>
      <c r="G82" s="393">
        <f t="shared" si="8"/>
        <v>440.24</v>
      </c>
      <c r="H82" s="401">
        <f t="shared" si="6"/>
        <v>2886.01</v>
      </c>
      <c r="I82" s="254"/>
      <c r="J82" s="67"/>
      <c r="K82" s="68"/>
      <c r="L82" s="52"/>
      <c r="M82" s="52"/>
      <c r="N82" s="69"/>
      <c r="O82" s="55"/>
      <c r="P82" s="55"/>
    </row>
    <row r="83" spans="1:16" s="56" customFormat="1" ht="12" customHeight="1">
      <c r="A83" s="267" t="s">
        <v>183</v>
      </c>
      <c r="B83" s="392" t="s">
        <v>105</v>
      </c>
      <c r="C83" s="423"/>
      <c r="D83" s="102">
        <v>877</v>
      </c>
      <c r="E83" s="234">
        <v>0.95</v>
      </c>
      <c r="F83" s="234">
        <f t="shared" si="7"/>
        <v>706.06</v>
      </c>
      <c r="G83" s="393">
        <f t="shared" si="8"/>
        <v>127.09</v>
      </c>
      <c r="H83" s="401">
        <f t="shared" si="6"/>
        <v>833.15</v>
      </c>
      <c r="I83" s="254"/>
      <c r="J83" s="67"/>
      <c r="K83" s="68"/>
      <c r="L83" s="52"/>
      <c r="M83" s="52"/>
      <c r="N83" s="69"/>
      <c r="O83" s="55"/>
      <c r="P83" s="55"/>
    </row>
    <row r="84" spans="1:16" s="56" customFormat="1" ht="33" customHeight="1">
      <c r="A84" s="267" t="s">
        <v>184</v>
      </c>
      <c r="B84" s="392" t="s">
        <v>320</v>
      </c>
      <c r="C84" s="424" t="s">
        <v>328</v>
      </c>
      <c r="D84" s="102">
        <v>2558</v>
      </c>
      <c r="E84" s="234">
        <v>2.68</v>
      </c>
      <c r="F84" s="234">
        <f t="shared" si="7"/>
        <v>5809.69</v>
      </c>
      <c r="G84" s="393">
        <f t="shared" si="8"/>
        <v>1045.75</v>
      </c>
      <c r="H84" s="401">
        <f t="shared" si="6"/>
        <v>6855.44</v>
      </c>
      <c r="I84" s="254"/>
      <c r="J84" s="67"/>
      <c r="K84" s="336"/>
      <c r="L84" s="52"/>
      <c r="M84" s="52"/>
      <c r="N84" s="69"/>
      <c r="O84" s="55"/>
      <c r="P84" s="55"/>
    </row>
    <row r="85" spans="1:16" s="56" customFormat="1" ht="38.25" customHeight="1">
      <c r="A85" s="267" t="s">
        <v>185</v>
      </c>
      <c r="B85" s="392" t="s">
        <v>320</v>
      </c>
      <c r="C85" s="425"/>
      <c r="D85" s="102">
        <v>0</v>
      </c>
      <c r="E85" s="234">
        <v>1.88</v>
      </c>
      <c r="F85" s="234">
        <f t="shared" si="7"/>
        <v>0</v>
      </c>
      <c r="G85" s="393">
        <f t="shared" si="8"/>
        <v>0</v>
      </c>
      <c r="H85" s="401">
        <f t="shared" si="6"/>
        <v>0</v>
      </c>
      <c r="I85" s="254"/>
      <c r="J85" s="67"/>
      <c r="K85" s="336"/>
      <c r="L85" s="52"/>
      <c r="M85" s="52"/>
      <c r="N85" s="69"/>
      <c r="O85" s="55"/>
      <c r="P85" s="55"/>
    </row>
    <row r="86" spans="1:16" s="56" customFormat="1" ht="15" customHeight="1">
      <c r="A86" s="267" t="s">
        <v>186</v>
      </c>
      <c r="B86" s="392" t="s">
        <v>347</v>
      </c>
      <c r="C86" s="424" t="s">
        <v>346</v>
      </c>
      <c r="D86" s="102">
        <v>405.229</v>
      </c>
      <c r="E86" s="234">
        <v>2.68</v>
      </c>
      <c r="F86" s="234">
        <f t="shared" si="7"/>
        <v>920.35</v>
      </c>
      <c r="G86" s="393">
        <f t="shared" si="8"/>
        <v>165.66</v>
      </c>
      <c r="H86" s="401">
        <f t="shared" si="6"/>
        <v>1086.01</v>
      </c>
      <c r="I86" s="254"/>
      <c r="J86" s="67"/>
      <c r="K86" s="336"/>
      <c r="L86" s="52"/>
      <c r="M86" s="52"/>
      <c r="N86" s="69"/>
      <c r="O86" s="55"/>
      <c r="P86" s="55"/>
    </row>
    <row r="87" spans="1:16" s="56" customFormat="1" ht="13.5" customHeight="1">
      <c r="A87" s="267" t="s">
        <v>187</v>
      </c>
      <c r="B87" s="392" t="s">
        <v>347</v>
      </c>
      <c r="C87" s="426"/>
      <c r="D87" s="102">
        <v>0</v>
      </c>
      <c r="E87" s="234">
        <v>1.88</v>
      </c>
      <c r="F87" s="234">
        <f t="shared" si="7"/>
        <v>0</v>
      </c>
      <c r="G87" s="393">
        <f t="shared" si="8"/>
        <v>0</v>
      </c>
      <c r="H87" s="401">
        <f t="shared" si="6"/>
        <v>0</v>
      </c>
      <c r="I87" s="254"/>
      <c r="J87" s="67"/>
      <c r="K87" s="336"/>
      <c r="L87" s="52"/>
      <c r="M87" s="52"/>
      <c r="N87" s="69"/>
      <c r="O87" s="55"/>
      <c r="P87" s="55"/>
    </row>
    <row r="88" spans="1:16" s="56" customFormat="1" ht="14.25" customHeight="1">
      <c r="A88" s="267" t="s">
        <v>188</v>
      </c>
      <c r="B88" s="392" t="s">
        <v>348</v>
      </c>
      <c r="C88" s="426"/>
      <c r="D88" s="102">
        <v>8429.607</v>
      </c>
      <c r="E88" s="234">
        <v>2.68</v>
      </c>
      <c r="F88" s="234">
        <f t="shared" si="7"/>
        <v>19145.21</v>
      </c>
      <c r="G88" s="393">
        <f>H88/6.5555555</f>
        <v>3446.14</v>
      </c>
      <c r="H88" s="401">
        <f t="shared" si="6"/>
        <v>22591.35</v>
      </c>
      <c r="I88" s="254"/>
      <c r="J88" s="67"/>
      <c r="K88" s="336"/>
      <c r="L88" s="52"/>
      <c r="M88" s="52"/>
      <c r="N88" s="69"/>
      <c r="O88" s="55"/>
      <c r="P88" s="55"/>
    </row>
    <row r="89" spans="1:16" s="56" customFormat="1" ht="14.25" customHeight="1">
      <c r="A89" s="267" t="s">
        <v>189</v>
      </c>
      <c r="B89" s="392" t="s">
        <v>348</v>
      </c>
      <c r="C89" s="425"/>
      <c r="D89" s="102">
        <v>282.104</v>
      </c>
      <c r="E89" s="234">
        <v>1.88</v>
      </c>
      <c r="F89" s="234">
        <f t="shared" si="7"/>
        <v>449.46</v>
      </c>
      <c r="G89" s="393">
        <f t="shared" si="8"/>
        <v>80.9</v>
      </c>
      <c r="H89" s="401">
        <f t="shared" si="6"/>
        <v>530.36</v>
      </c>
      <c r="I89" s="254"/>
      <c r="J89" s="67"/>
      <c r="K89" s="336"/>
      <c r="L89" s="52"/>
      <c r="M89" s="52"/>
      <c r="N89" s="69"/>
      <c r="O89" s="55"/>
      <c r="P89" s="55"/>
    </row>
    <row r="90" spans="1:16" s="56" customFormat="1" ht="35.25" customHeight="1">
      <c r="A90" s="267" t="s">
        <v>190</v>
      </c>
      <c r="B90" s="392" t="s">
        <v>300</v>
      </c>
      <c r="C90" s="423" t="s">
        <v>330</v>
      </c>
      <c r="D90" s="102">
        <v>0</v>
      </c>
      <c r="E90" s="234">
        <v>2.68</v>
      </c>
      <c r="F90" s="234">
        <f>H90-G90</f>
        <v>0</v>
      </c>
      <c r="G90" s="393">
        <f>H90/6.5555555</f>
        <v>0</v>
      </c>
      <c r="H90" s="401">
        <f>D90*E90</f>
        <v>0</v>
      </c>
      <c r="I90" s="254"/>
      <c r="J90" s="67"/>
      <c r="K90" s="336"/>
      <c r="L90" s="52"/>
      <c r="M90" s="52"/>
      <c r="N90" s="69"/>
      <c r="O90" s="55"/>
      <c r="P90" s="55"/>
    </row>
    <row r="91" spans="1:16" s="56" customFormat="1" ht="32.25" customHeight="1">
      <c r="A91" s="267" t="s">
        <v>191</v>
      </c>
      <c r="B91" s="392" t="s">
        <v>301</v>
      </c>
      <c r="C91" s="423"/>
      <c r="D91" s="102">
        <v>11533.938</v>
      </c>
      <c r="E91" s="234">
        <v>2.68</v>
      </c>
      <c r="F91" s="234">
        <f>H91-G91</f>
        <v>26195.72</v>
      </c>
      <c r="G91" s="393">
        <f>H91/6.5555555</f>
        <v>4715.23</v>
      </c>
      <c r="H91" s="401">
        <f>D91*E91</f>
        <v>30910.95</v>
      </c>
      <c r="I91" s="254"/>
      <c r="J91" s="67"/>
      <c r="K91" s="336"/>
      <c r="L91" s="52"/>
      <c r="M91" s="52"/>
      <c r="N91" s="69"/>
      <c r="O91" s="55"/>
      <c r="P91" s="55"/>
    </row>
    <row r="92" spans="1:16" s="56" customFormat="1" ht="38.25" customHeight="1">
      <c r="A92" s="267" t="s">
        <v>263</v>
      </c>
      <c r="B92" s="392" t="s">
        <v>308</v>
      </c>
      <c r="C92" s="424" t="s">
        <v>349</v>
      </c>
      <c r="D92" s="102">
        <v>0</v>
      </c>
      <c r="E92" s="234">
        <v>2.68</v>
      </c>
      <c r="F92" s="234">
        <f t="shared" si="7"/>
        <v>0</v>
      </c>
      <c r="G92" s="393">
        <f t="shared" si="8"/>
        <v>0</v>
      </c>
      <c r="H92" s="401">
        <f t="shared" si="6"/>
        <v>0</v>
      </c>
      <c r="I92" s="254"/>
      <c r="J92" s="67"/>
      <c r="K92" s="336"/>
      <c r="L92" s="52"/>
      <c r="M92" s="52"/>
      <c r="N92" s="69"/>
      <c r="O92" s="55"/>
      <c r="P92" s="55"/>
    </row>
    <row r="93" spans="1:16" s="56" customFormat="1" ht="34.5" customHeight="1">
      <c r="A93" s="267" t="s">
        <v>192</v>
      </c>
      <c r="B93" s="392" t="s">
        <v>309</v>
      </c>
      <c r="C93" s="425"/>
      <c r="D93" s="102">
        <v>4900.401</v>
      </c>
      <c r="E93" s="234">
        <v>2.68</v>
      </c>
      <c r="F93" s="234">
        <f t="shared" si="7"/>
        <v>11129.72</v>
      </c>
      <c r="G93" s="393">
        <f t="shared" si="8"/>
        <v>2003.35</v>
      </c>
      <c r="H93" s="401">
        <f t="shared" si="6"/>
        <v>13133.07</v>
      </c>
      <c r="I93" s="254"/>
      <c r="J93" s="67"/>
      <c r="K93" s="336"/>
      <c r="L93" s="52"/>
      <c r="M93" s="52"/>
      <c r="N93" s="69"/>
      <c r="O93" s="55"/>
      <c r="P93" s="55"/>
    </row>
    <row r="94" spans="1:16" s="56" customFormat="1" ht="31.5" customHeight="1">
      <c r="A94" s="267" t="s">
        <v>193</v>
      </c>
      <c r="B94" s="392" t="s">
        <v>310</v>
      </c>
      <c r="C94" s="424" t="s">
        <v>339</v>
      </c>
      <c r="D94" s="102">
        <v>5740.58</v>
      </c>
      <c r="E94" s="234">
        <v>2.68</v>
      </c>
      <c r="F94" s="234">
        <f t="shared" si="7"/>
        <v>13037.92</v>
      </c>
      <c r="G94" s="393">
        <f t="shared" si="8"/>
        <v>2346.83</v>
      </c>
      <c r="H94" s="401">
        <f t="shared" si="6"/>
        <v>15384.75</v>
      </c>
      <c r="I94" s="254"/>
      <c r="J94" s="67"/>
      <c r="K94" s="336"/>
      <c r="L94" s="52"/>
      <c r="M94" s="52"/>
      <c r="N94" s="69"/>
      <c r="O94" s="55"/>
      <c r="P94" s="55"/>
    </row>
    <row r="95" spans="1:16" s="56" customFormat="1" ht="39" customHeight="1">
      <c r="A95" s="267" t="s">
        <v>194</v>
      </c>
      <c r="B95" s="392" t="s">
        <v>311</v>
      </c>
      <c r="C95" s="425"/>
      <c r="D95" s="102">
        <v>9195.358</v>
      </c>
      <c r="E95" s="234">
        <v>2.68</v>
      </c>
      <c r="F95" s="234">
        <f t="shared" si="7"/>
        <v>20884.37</v>
      </c>
      <c r="G95" s="393">
        <f t="shared" si="8"/>
        <v>3759.19</v>
      </c>
      <c r="H95" s="401">
        <f t="shared" si="6"/>
        <v>24643.56</v>
      </c>
      <c r="I95" s="254"/>
      <c r="J95" s="67"/>
      <c r="K95" s="336"/>
      <c r="L95" s="52"/>
      <c r="M95" s="52"/>
      <c r="N95" s="69"/>
      <c r="O95" s="55"/>
      <c r="P95" s="55"/>
    </row>
    <row r="96" spans="1:16" s="56" customFormat="1" ht="18.75" customHeight="1">
      <c r="A96" s="267" t="s">
        <v>195</v>
      </c>
      <c r="B96" s="392" t="s">
        <v>306</v>
      </c>
      <c r="C96" s="424" t="s">
        <v>340</v>
      </c>
      <c r="D96" s="102">
        <v>1196.972</v>
      </c>
      <c r="E96" s="234">
        <v>2.68</v>
      </c>
      <c r="F96" s="234">
        <f t="shared" si="7"/>
        <v>2718.54</v>
      </c>
      <c r="G96" s="393">
        <f t="shared" si="8"/>
        <v>489.34</v>
      </c>
      <c r="H96" s="401">
        <f t="shared" si="6"/>
        <v>3207.88</v>
      </c>
      <c r="I96" s="254"/>
      <c r="J96" s="67"/>
      <c r="K96" s="336"/>
      <c r="L96" s="52"/>
      <c r="M96" s="52"/>
      <c r="N96" s="69"/>
      <c r="O96" s="55"/>
      <c r="P96" s="55"/>
    </row>
    <row r="97" spans="1:16" s="56" customFormat="1" ht="19.5" customHeight="1">
      <c r="A97" s="267" t="s">
        <v>196</v>
      </c>
      <c r="B97" s="392" t="s">
        <v>306</v>
      </c>
      <c r="C97" s="426"/>
      <c r="D97" s="102">
        <v>268.905</v>
      </c>
      <c r="E97" s="234">
        <v>1.88</v>
      </c>
      <c r="F97" s="234">
        <f t="shared" si="7"/>
        <v>428.42</v>
      </c>
      <c r="G97" s="393">
        <f t="shared" si="8"/>
        <v>77.12</v>
      </c>
      <c r="H97" s="401">
        <f t="shared" si="6"/>
        <v>505.54</v>
      </c>
      <c r="I97" s="254"/>
      <c r="J97" s="67"/>
      <c r="K97" s="336"/>
      <c r="L97" s="52"/>
      <c r="M97" s="52"/>
      <c r="N97" s="69"/>
      <c r="O97" s="55"/>
      <c r="P97" s="55"/>
    </row>
    <row r="98" spans="1:16" s="56" customFormat="1" ht="18.75" customHeight="1">
      <c r="A98" s="267" t="s">
        <v>197</v>
      </c>
      <c r="B98" s="392" t="s">
        <v>307</v>
      </c>
      <c r="C98" s="426"/>
      <c r="D98" s="102">
        <v>94934.4</v>
      </c>
      <c r="E98" s="234">
        <v>2.68</v>
      </c>
      <c r="F98" s="234">
        <f t="shared" si="7"/>
        <v>215613.72</v>
      </c>
      <c r="G98" s="393">
        <f t="shared" si="8"/>
        <v>38810.47</v>
      </c>
      <c r="H98" s="401">
        <f t="shared" si="6"/>
        <v>254424.19</v>
      </c>
      <c r="I98" s="254"/>
      <c r="J98" s="67"/>
      <c r="K98" s="336"/>
      <c r="L98" s="52"/>
      <c r="M98" s="52"/>
      <c r="N98" s="69"/>
      <c r="O98" s="55"/>
      <c r="P98" s="55"/>
    </row>
    <row r="99" spans="1:16" s="56" customFormat="1" ht="18.75" customHeight="1">
      <c r="A99" s="267" t="s">
        <v>198</v>
      </c>
      <c r="B99" s="392" t="s">
        <v>307</v>
      </c>
      <c r="C99" s="425"/>
      <c r="D99" s="102">
        <v>10631.17</v>
      </c>
      <c r="E99" s="234">
        <v>1.88</v>
      </c>
      <c r="F99" s="234">
        <f t="shared" si="7"/>
        <v>16937.8</v>
      </c>
      <c r="G99" s="393">
        <f t="shared" si="8"/>
        <v>3048.8</v>
      </c>
      <c r="H99" s="401">
        <f t="shared" si="6"/>
        <v>19986.6</v>
      </c>
      <c r="I99" s="254"/>
      <c r="J99" s="67"/>
      <c r="K99" s="336"/>
      <c r="L99" s="52"/>
      <c r="M99" s="52"/>
      <c r="N99" s="69"/>
      <c r="O99" s="55"/>
      <c r="P99" s="55"/>
    </row>
    <row r="100" spans="1:16" s="56" customFormat="1" ht="25.5" customHeight="1">
      <c r="A100" s="267" t="s">
        <v>199</v>
      </c>
      <c r="B100" s="392" t="s">
        <v>358</v>
      </c>
      <c r="C100" s="424" t="s">
        <v>402</v>
      </c>
      <c r="D100" s="102">
        <v>7255.938</v>
      </c>
      <c r="E100" s="234">
        <v>2.68</v>
      </c>
      <c r="F100" s="234">
        <f t="shared" si="7"/>
        <v>16479.58</v>
      </c>
      <c r="G100" s="393">
        <f t="shared" si="8"/>
        <v>2966.33</v>
      </c>
      <c r="H100" s="401">
        <f t="shared" si="6"/>
        <v>19445.91</v>
      </c>
      <c r="I100" s="254"/>
      <c r="J100" s="67"/>
      <c r="K100" s="336"/>
      <c r="L100" s="52"/>
      <c r="M100" s="52"/>
      <c r="N100" s="69"/>
      <c r="O100" s="55"/>
      <c r="P100" s="55"/>
    </row>
    <row r="101" spans="1:16" s="56" customFormat="1" ht="27" customHeight="1">
      <c r="A101" s="267" t="s">
        <v>200</v>
      </c>
      <c r="B101" s="392" t="s">
        <v>319</v>
      </c>
      <c r="C101" s="426"/>
      <c r="D101" s="102">
        <v>27599.776</v>
      </c>
      <c r="E101" s="234">
        <v>2.68</v>
      </c>
      <c r="F101" s="234">
        <f t="shared" si="7"/>
        <v>62684.24</v>
      </c>
      <c r="G101" s="393">
        <f>H101/6.5555555</f>
        <v>11283.16</v>
      </c>
      <c r="H101" s="401">
        <f t="shared" si="6"/>
        <v>73967.4</v>
      </c>
      <c r="I101" s="254"/>
      <c r="J101" s="67"/>
      <c r="K101" s="336"/>
      <c r="L101" s="52"/>
      <c r="M101" s="52"/>
      <c r="N101" s="69"/>
      <c r="O101" s="55"/>
      <c r="P101" s="55"/>
    </row>
    <row r="102" spans="1:16" s="56" customFormat="1" ht="31.5" customHeight="1">
      <c r="A102" s="267" t="s">
        <v>201</v>
      </c>
      <c r="B102" s="392" t="s">
        <v>319</v>
      </c>
      <c r="C102" s="425"/>
      <c r="D102" s="102">
        <v>24702.865</v>
      </c>
      <c r="E102" s="234">
        <v>1.88</v>
      </c>
      <c r="F102" s="234">
        <f t="shared" si="7"/>
        <v>39357.11</v>
      </c>
      <c r="G102" s="393">
        <f t="shared" si="8"/>
        <v>7084.28</v>
      </c>
      <c r="H102" s="401">
        <f t="shared" si="6"/>
        <v>46441.39</v>
      </c>
      <c r="I102" s="254"/>
      <c r="J102" s="67"/>
      <c r="K102" s="336"/>
      <c r="L102" s="52"/>
      <c r="M102" s="52"/>
      <c r="N102" s="69"/>
      <c r="O102" s="55"/>
      <c r="P102" s="55"/>
    </row>
    <row r="103" spans="1:16" s="56" customFormat="1" ht="24" customHeight="1">
      <c r="A103" s="267" t="s">
        <v>202</v>
      </c>
      <c r="B103" s="392" t="s">
        <v>304</v>
      </c>
      <c r="C103" s="424" t="s">
        <v>337</v>
      </c>
      <c r="D103" s="102">
        <v>2038.753</v>
      </c>
      <c r="E103" s="234">
        <v>2.68</v>
      </c>
      <c r="F103" s="234">
        <f t="shared" si="7"/>
        <v>4630.39</v>
      </c>
      <c r="G103" s="393">
        <f t="shared" si="8"/>
        <v>833.47</v>
      </c>
      <c r="H103" s="401">
        <f t="shared" si="6"/>
        <v>5463.86</v>
      </c>
      <c r="I103" s="254"/>
      <c r="J103" s="67"/>
      <c r="K103" s="336"/>
      <c r="L103" s="52"/>
      <c r="M103" s="52"/>
      <c r="N103" s="69"/>
      <c r="O103" s="55"/>
      <c r="P103" s="55"/>
    </row>
    <row r="104" spans="1:16" s="56" customFormat="1" ht="24" customHeight="1">
      <c r="A104" s="267" t="s">
        <v>377</v>
      </c>
      <c r="B104" s="392" t="s">
        <v>304</v>
      </c>
      <c r="C104" s="426"/>
      <c r="D104" s="102">
        <v>0</v>
      </c>
      <c r="E104" s="234">
        <v>1.88</v>
      </c>
      <c r="F104" s="234">
        <f>H104-G104</f>
        <v>0</v>
      </c>
      <c r="G104" s="393">
        <f>H104/6.5555555</f>
        <v>0</v>
      </c>
      <c r="H104" s="401">
        <f>D104*E104</f>
        <v>0</v>
      </c>
      <c r="I104" s="254"/>
      <c r="J104" s="67"/>
      <c r="K104" s="336"/>
      <c r="L104" s="52"/>
      <c r="M104" s="52"/>
      <c r="N104" s="69"/>
      <c r="O104" s="55"/>
      <c r="P104" s="55"/>
    </row>
    <row r="105" spans="1:16" s="56" customFormat="1" ht="22.5" customHeight="1">
      <c r="A105" s="267" t="s">
        <v>378</v>
      </c>
      <c r="B105" s="392" t="s">
        <v>305</v>
      </c>
      <c r="C105" s="426"/>
      <c r="D105" s="102">
        <v>39590.608</v>
      </c>
      <c r="E105" s="234">
        <v>2.68</v>
      </c>
      <c r="F105" s="234">
        <f t="shared" si="7"/>
        <v>89917.65</v>
      </c>
      <c r="G105" s="393">
        <f t="shared" si="8"/>
        <v>16185.18</v>
      </c>
      <c r="H105" s="401">
        <f t="shared" si="6"/>
        <v>106102.83</v>
      </c>
      <c r="I105" s="254"/>
      <c r="J105" s="67"/>
      <c r="K105" s="336"/>
      <c r="L105" s="52"/>
      <c r="M105" s="52"/>
      <c r="N105" s="69"/>
      <c r="O105" s="55"/>
      <c r="P105" s="55"/>
    </row>
    <row r="106" spans="1:16" s="56" customFormat="1" ht="22.5" customHeight="1">
      <c r="A106" s="267" t="s">
        <v>379</v>
      </c>
      <c r="B106" s="392" t="s">
        <v>305</v>
      </c>
      <c r="C106" s="425"/>
      <c r="D106" s="102">
        <v>13289.726</v>
      </c>
      <c r="E106" s="234">
        <v>1.88</v>
      </c>
      <c r="F106" s="234">
        <f t="shared" si="7"/>
        <v>21173.46</v>
      </c>
      <c r="G106" s="393">
        <f t="shared" si="8"/>
        <v>3811.22</v>
      </c>
      <c r="H106" s="401">
        <f t="shared" si="6"/>
        <v>24984.68</v>
      </c>
      <c r="I106" s="254"/>
      <c r="J106" s="67"/>
      <c r="K106" s="336"/>
      <c r="L106" s="52"/>
      <c r="M106" s="52"/>
      <c r="N106" s="69"/>
      <c r="O106" s="55"/>
      <c r="P106" s="55"/>
    </row>
    <row r="107" spans="1:16" s="56" customFormat="1" ht="21" customHeight="1">
      <c r="A107" s="267" t="s">
        <v>380</v>
      </c>
      <c r="B107" s="392" t="s">
        <v>350</v>
      </c>
      <c r="C107" s="424" t="s">
        <v>341</v>
      </c>
      <c r="D107" s="102">
        <v>4534.812</v>
      </c>
      <c r="E107" s="234">
        <v>1.88</v>
      </c>
      <c r="F107" s="234">
        <f t="shared" si="7"/>
        <v>7224.96</v>
      </c>
      <c r="G107" s="393">
        <f t="shared" si="8"/>
        <v>1300.49</v>
      </c>
      <c r="H107" s="401">
        <f t="shared" si="6"/>
        <v>8525.45</v>
      </c>
      <c r="I107" s="254"/>
      <c r="J107" s="67"/>
      <c r="K107" s="336"/>
      <c r="L107" s="52"/>
      <c r="M107" s="52"/>
      <c r="N107" s="69"/>
      <c r="O107" s="55"/>
      <c r="P107" s="55"/>
    </row>
    <row r="108" spans="1:16" s="56" customFormat="1" ht="25.5" customHeight="1">
      <c r="A108" s="267" t="s">
        <v>381</v>
      </c>
      <c r="B108" s="392" t="s">
        <v>318</v>
      </c>
      <c r="C108" s="426"/>
      <c r="D108" s="102">
        <v>6703.967</v>
      </c>
      <c r="E108" s="234">
        <v>2.68</v>
      </c>
      <c r="F108" s="234">
        <f t="shared" si="7"/>
        <v>15225.96</v>
      </c>
      <c r="G108" s="393">
        <f t="shared" si="8"/>
        <v>2740.67</v>
      </c>
      <c r="H108" s="401">
        <f t="shared" si="6"/>
        <v>17966.63</v>
      </c>
      <c r="I108" s="254"/>
      <c r="J108" s="67"/>
      <c r="K108" s="336"/>
      <c r="L108" s="52"/>
      <c r="M108" s="52"/>
      <c r="N108" s="69"/>
      <c r="O108" s="55"/>
      <c r="P108" s="55"/>
    </row>
    <row r="109" spans="1:16" s="56" customFormat="1" ht="24.75" customHeight="1">
      <c r="A109" s="267" t="s">
        <v>382</v>
      </c>
      <c r="B109" s="392" t="s">
        <v>318</v>
      </c>
      <c r="C109" s="425"/>
      <c r="D109" s="102">
        <v>4850.34</v>
      </c>
      <c r="E109" s="234">
        <v>1.88</v>
      </c>
      <c r="F109" s="234">
        <f t="shared" si="7"/>
        <v>7727.66</v>
      </c>
      <c r="G109" s="393">
        <f t="shared" si="8"/>
        <v>1390.98</v>
      </c>
      <c r="H109" s="401">
        <f t="shared" si="6"/>
        <v>9118.64</v>
      </c>
      <c r="I109" s="254"/>
      <c r="J109" s="67"/>
      <c r="K109" s="336"/>
      <c r="L109" s="52"/>
      <c r="M109" s="52"/>
      <c r="N109" s="69"/>
      <c r="O109" s="55"/>
      <c r="P109" s="55"/>
    </row>
    <row r="110" spans="1:16" s="56" customFormat="1" ht="16.5" customHeight="1">
      <c r="A110" s="267" t="s">
        <v>383</v>
      </c>
      <c r="B110" s="392" t="s">
        <v>314</v>
      </c>
      <c r="C110" s="424" t="s">
        <v>338</v>
      </c>
      <c r="D110" s="102">
        <v>1512.96</v>
      </c>
      <c r="E110" s="234">
        <v>2.68</v>
      </c>
      <c r="F110" s="234">
        <f t="shared" si="7"/>
        <v>3436.21</v>
      </c>
      <c r="G110" s="393">
        <f t="shared" si="8"/>
        <v>618.52</v>
      </c>
      <c r="H110" s="401">
        <f t="shared" si="6"/>
        <v>4054.73</v>
      </c>
      <c r="I110" s="254"/>
      <c r="J110" s="67"/>
      <c r="K110" s="336"/>
      <c r="L110" s="52"/>
      <c r="M110" s="52"/>
      <c r="N110" s="69"/>
      <c r="O110" s="55"/>
      <c r="P110" s="55"/>
    </row>
    <row r="111" spans="1:16" s="56" customFormat="1" ht="18" customHeight="1">
      <c r="A111" s="267" t="s">
        <v>384</v>
      </c>
      <c r="B111" s="392" t="s">
        <v>314</v>
      </c>
      <c r="C111" s="426"/>
      <c r="D111" s="102">
        <v>1488.532</v>
      </c>
      <c r="E111" s="234">
        <v>1.88</v>
      </c>
      <c r="F111" s="234">
        <f t="shared" si="7"/>
        <v>2371.56</v>
      </c>
      <c r="G111" s="393">
        <f t="shared" si="8"/>
        <v>426.88</v>
      </c>
      <c r="H111" s="401">
        <f t="shared" si="6"/>
        <v>2798.44</v>
      </c>
      <c r="I111" s="254"/>
      <c r="J111" s="67"/>
      <c r="K111" s="336"/>
      <c r="L111" s="52"/>
      <c r="M111" s="52"/>
      <c r="N111" s="69"/>
      <c r="O111" s="55"/>
      <c r="P111" s="55"/>
    </row>
    <row r="112" spans="1:16" s="56" customFormat="1" ht="18" customHeight="1">
      <c r="A112" s="267" t="s">
        <v>385</v>
      </c>
      <c r="B112" s="392" t="s">
        <v>315</v>
      </c>
      <c r="C112" s="426"/>
      <c r="D112" s="102">
        <v>76599.775</v>
      </c>
      <c r="E112" s="234">
        <v>2.68</v>
      </c>
      <c r="F112" s="234">
        <f t="shared" si="7"/>
        <v>173972.37</v>
      </c>
      <c r="G112" s="393">
        <f t="shared" si="8"/>
        <v>31315.03</v>
      </c>
      <c r="H112" s="401">
        <f t="shared" si="6"/>
        <v>205287.4</v>
      </c>
      <c r="I112" s="254"/>
      <c r="J112" s="67"/>
      <c r="K112" s="336"/>
      <c r="L112" s="52"/>
      <c r="M112" s="52"/>
      <c r="N112" s="69"/>
      <c r="O112" s="55"/>
      <c r="P112" s="55"/>
    </row>
    <row r="113" spans="1:16" s="56" customFormat="1" ht="21" customHeight="1">
      <c r="A113" s="267" t="s">
        <v>386</v>
      </c>
      <c r="B113" s="392" t="s">
        <v>315</v>
      </c>
      <c r="C113" s="425"/>
      <c r="D113" s="102">
        <v>21258.261</v>
      </c>
      <c r="E113" s="234">
        <v>1.88</v>
      </c>
      <c r="F113" s="234">
        <f t="shared" si="7"/>
        <v>33869.09</v>
      </c>
      <c r="G113" s="393">
        <f t="shared" si="8"/>
        <v>6096.44</v>
      </c>
      <c r="H113" s="401">
        <f t="shared" si="6"/>
        <v>39965.53</v>
      </c>
      <c r="I113" s="254"/>
      <c r="J113" s="67"/>
      <c r="K113" s="336"/>
      <c r="L113" s="52"/>
      <c r="M113" s="52"/>
      <c r="N113" s="69"/>
      <c r="O113" s="55"/>
      <c r="P113" s="55"/>
    </row>
    <row r="114" spans="1:16" s="56" customFormat="1" ht="26.25" customHeight="1">
      <c r="A114" s="267" t="s">
        <v>387</v>
      </c>
      <c r="B114" s="392" t="s">
        <v>316</v>
      </c>
      <c r="C114" s="424" t="s">
        <v>333</v>
      </c>
      <c r="D114" s="102">
        <v>2193.595</v>
      </c>
      <c r="E114" s="234">
        <v>2.68</v>
      </c>
      <c r="F114" s="234">
        <f t="shared" si="7"/>
        <v>4982.06</v>
      </c>
      <c r="G114" s="393">
        <f t="shared" si="8"/>
        <v>896.77</v>
      </c>
      <c r="H114" s="401">
        <f t="shared" si="6"/>
        <v>5878.83</v>
      </c>
      <c r="I114" s="254"/>
      <c r="J114" s="67"/>
      <c r="K114" s="336"/>
      <c r="L114" s="52"/>
      <c r="M114" s="52"/>
      <c r="N114" s="69"/>
      <c r="O114" s="55"/>
      <c r="P114" s="55"/>
    </row>
    <row r="115" spans="1:16" s="56" customFormat="1" ht="26.25" customHeight="1">
      <c r="A115" s="267" t="s">
        <v>388</v>
      </c>
      <c r="B115" s="392" t="s">
        <v>317</v>
      </c>
      <c r="C115" s="426"/>
      <c r="D115" s="102">
        <v>69485.543</v>
      </c>
      <c r="E115" s="234">
        <v>2.68</v>
      </c>
      <c r="F115" s="234">
        <f t="shared" si="7"/>
        <v>157814.63</v>
      </c>
      <c r="G115" s="393">
        <f t="shared" si="8"/>
        <v>28406.63</v>
      </c>
      <c r="H115" s="401">
        <f t="shared" si="6"/>
        <v>186221.26</v>
      </c>
      <c r="I115" s="254"/>
      <c r="J115" s="67"/>
      <c r="K115" s="336"/>
      <c r="L115" s="52"/>
      <c r="M115" s="52"/>
      <c r="N115" s="69"/>
      <c r="O115" s="55"/>
      <c r="P115" s="55"/>
    </row>
    <row r="116" spans="1:16" s="56" customFormat="1" ht="26.25" customHeight="1">
      <c r="A116" s="267" t="s">
        <v>389</v>
      </c>
      <c r="B116" s="392" t="s">
        <v>317</v>
      </c>
      <c r="C116" s="425"/>
      <c r="D116" s="102">
        <v>29599.146</v>
      </c>
      <c r="E116" s="234">
        <v>1.88</v>
      </c>
      <c r="F116" s="234">
        <f t="shared" si="7"/>
        <v>47157.96</v>
      </c>
      <c r="G116" s="393">
        <f t="shared" si="8"/>
        <v>8488.43</v>
      </c>
      <c r="H116" s="401">
        <f t="shared" si="6"/>
        <v>55646.39</v>
      </c>
      <c r="I116" s="254"/>
      <c r="J116" s="67"/>
      <c r="K116" s="336"/>
      <c r="L116" s="52"/>
      <c r="M116" s="52"/>
      <c r="N116" s="69"/>
      <c r="O116" s="55"/>
      <c r="P116" s="55"/>
    </row>
    <row r="117" spans="1:16" s="56" customFormat="1" ht="34.5" customHeight="1">
      <c r="A117" s="267" t="s">
        <v>390</v>
      </c>
      <c r="B117" s="392" t="s">
        <v>302</v>
      </c>
      <c r="C117" s="423" t="s">
        <v>334</v>
      </c>
      <c r="D117" s="102">
        <v>2070.47</v>
      </c>
      <c r="E117" s="234">
        <v>2.68</v>
      </c>
      <c r="F117" s="234">
        <f t="shared" si="7"/>
        <v>4702.42</v>
      </c>
      <c r="G117" s="393">
        <f t="shared" si="8"/>
        <v>846.44</v>
      </c>
      <c r="H117" s="401">
        <f t="shared" si="6"/>
        <v>5548.86</v>
      </c>
      <c r="I117" s="254"/>
      <c r="J117" s="67"/>
      <c r="K117" s="336"/>
      <c r="L117" s="52"/>
      <c r="M117" s="52"/>
      <c r="N117" s="69"/>
      <c r="O117" s="55"/>
      <c r="P117" s="55"/>
    </row>
    <row r="118" spans="1:16" s="56" customFormat="1" ht="34.5" customHeight="1">
      <c r="A118" s="267" t="s">
        <v>391</v>
      </c>
      <c r="B118" s="392" t="s">
        <v>303</v>
      </c>
      <c r="C118" s="423"/>
      <c r="D118" s="102">
        <v>54913.134</v>
      </c>
      <c r="E118" s="234">
        <v>2.68</v>
      </c>
      <c r="F118" s="234">
        <f t="shared" si="7"/>
        <v>124717.97</v>
      </c>
      <c r="G118" s="393">
        <f t="shared" si="8"/>
        <v>22449.23</v>
      </c>
      <c r="H118" s="401">
        <f t="shared" si="6"/>
        <v>147167.2</v>
      </c>
      <c r="I118" s="254"/>
      <c r="J118" s="67"/>
      <c r="K118" s="336"/>
      <c r="L118" s="52"/>
      <c r="M118" s="52"/>
      <c r="N118" s="69"/>
      <c r="O118" s="55"/>
      <c r="P118" s="55"/>
    </row>
    <row r="119" spans="1:16" s="56" customFormat="1" ht="34.5" customHeight="1">
      <c r="A119" s="267" t="s">
        <v>392</v>
      </c>
      <c r="B119" s="392" t="s">
        <v>351</v>
      </c>
      <c r="C119" s="424" t="s">
        <v>342</v>
      </c>
      <c r="D119" s="102">
        <v>2115.37</v>
      </c>
      <c r="E119" s="234">
        <v>1.88</v>
      </c>
      <c r="F119" s="234">
        <f t="shared" si="7"/>
        <v>3370.25</v>
      </c>
      <c r="G119" s="393">
        <f t="shared" si="8"/>
        <v>606.65</v>
      </c>
      <c r="H119" s="401">
        <f t="shared" si="6"/>
        <v>3976.9</v>
      </c>
      <c r="I119" s="254"/>
      <c r="J119" s="67"/>
      <c r="K119" s="336"/>
      <c r="L119" s="52"/>
      <c r="M119" s="52"/>
      <c r="N119" s="69"/>
      <c r="O119" s="55"/>
      <c r="P119" s="55"/>
    </row>
    <row r="120" spans="1:16" s="56" customFormat="1" ht="34.5" customHeight="1">
      <c r="A120" s="267" t="s">
        <v>393</v>
      </c>
      <c r="B120" s="392" t="s">
        <v>351</v>
      </c>
      <c r="C120" s="426"/>
      <c r="D120" s="102">
        <v>8679.159</v>
      </c>
      <c r="E120" s="234">
        <v>2.68</v>
      </c>
      <c r="F120" s="234">
        <f t="shared" si="7"/>
        <v>19711.99</v>
      </c>
      <c r="G120" s="393">
        <f t="shared" si="8"/>
        <v>3548.16</v>
      </c>
      <c r="H120" s="401">
        <f t="shared" si="6"/>
        <v>23260.15</v>
      </c>
      <c r="I120" s="254"/>
      <c r="J120" s="67"/>
      <c r="K120" s="336"/>
      <c r="L120" s="52"/>
      <c r="M120" s="52"/>
      <c r="N120" s="69"/>
      <c r="O120" s="55"/>
      <c r="P120" s="55"/>
    </row>
    <row r="121" spans="1:16" s="56" customFormat="1" ht="39" customHeight="1">
      <c r="A121" s="267" t="s">
        <v>394</v>
      </c>
      <c r="B121" s="392" t="s">
        <v>299</v>
      </c>
      <c r="C121" s="425"/>
      <c r="D121" s="102">
        <v>13530.824</v>
      </c>
      <c r="E121" s="234">
        <v>2.68</v>
      </c>
      <c r="F121" s="234">
        <f t="shared" si="7"/>
        <v>30731.03</v>
      </c>
      <c r="G121" s="393">
        <f t="shared" si="8"/>
        <v>5531.58</v>
      </c>
      <c r="H121" s="401">
        <f t="shared" si="6"/>
        <v>36262.61</v>
      </c>
      <c r="I121" s="254"/>
      <c r="J121" s="67"/>
      <c r="K121" s="336"/>
      <c r="L121" s="52"/>
      <c r="M121" s="52"/>
      <c r="N121" s="69"/>
      <c r="O121" s="55"/>
      <c r="P121" s="55"/>
    </row>
    <row r="122" spans="1:16" s="56" customFormat="1" ht="33.75" customHeight="1">
      <c r="A122" s="267" t="s">
        <v>395</v>
      </c>
      <c r="B122" s="392" t="s">
        <v>360</v>
      </c>
      <c r="C122" s="424" t="s">
        <v>343</v>
      </c>
      <c r="D122" s="102">
        <v>12468.146</v>
      </c>
      <c r="E122" s="234">
        <v>2.68</v>
      </c>
      <c r="F122" s="234">
        <f t="shared" si="7"/>
        <v>28317.48</v>
      </c>
      <c r="G122" s="393">
        <f t="shared" si="8"/>
        <v>5097.15</v>
      </c>
      <c r="H122" s="401">
        <f t="shared" si="6"/>
        <v>33414.63</v>
      </c>
      <c r="I122" s="254"/>
      <c r="J122" s="67"/>
      <c r="K122" s="336"/>
      <c r="L122" s="52"/>
      <c r="M122" s="52"/>
      <c r="N122" s="69"/>
      <c r="O122" s="55"/>
      <c r="P122" s="55"/>
    </row>
    <row r="123" spans="1:16" s="56" customFormat="1" ht="39.75" customHeight="1">
      <c r="A123" s="267" t="s">
        <v>396</v>
      </c>
      <c r="B123" s="392" t="s">
        <v>356</v>
      </c>
      <c r="C123" s="425"/>
      <c r="D123" s="102">
        <v>1257.845</v>
      </c>
      <c r="E123" s="234">
        <v>2.68</v>
      </c>
      <c r="F123" s="234">
        <f>H123-G123</f>
        <v>2856.8</v>
      </c>
      <c r="G123" s="393">
        <f>H123/6.5555555</f>
        <v>514.22</v>
      </c>
      <c r="H123" s="401">
        <f>D123*E123</f>
        <v>3371.02</v>
      </c>
      <c r="I123" s="71"/>
      <c r="J123" s="67"/>
      <c r="K123" s="336"/>
      <c r="L123" s="52"/>
      <c r="M123" s="52"/>
      <c r="N123" s="69"/>
      <c r="O123" s="55"/>
      <c r="P123" s="55"/>
    </row>
    <row r="124" spans="1:16" s="56" customFormat="1" ht="39.75" customHeight="1">
      <c r="A124" s="267" t="s">
        <v>397</v>
      </c>
      <c r="B124" s="392" t="s">
        <v>376</v>
      </c>
      <c r="C124" s="424" t="s">
        <v>329</v>
      </c>
      <c r="D124" s="102">
        <v>201.925</v>
      </c>
      <c r="E124" s="234">
        <v>2.68</v>
      </c>
      <c r="F124" s="234">
        <f>H124-G124</f>
        <v>458.61</v>
      </c>
      <c r="G124" s="393">
        <f>H124/6.5555555</f>
        <v>82.55</v>
      </c>
      <c r="H124" s="401">
        <f>D124*E124</f>
        <v>541.16</v>
      </c>
      <c r="I124" s="71"/>
      <c r="J124" s="67"/>
      <c r="K124" s="336"/>
      <c r="L124" s="52"/>
      <c r="M124" s="52"/>
      <c r="N124" s="69"/>
      <c r="O124" s="55"/>
      <c r="P124" s="55"/>
    </row>
    <row r="125" spans="1:16" s="56" customFormat="1" ht="36.75" customHeight="1">
      <c r="A125" s="267" t="s">
        <v>398</v>
      </c>
      <c r="B125" s="392" t="s">
        <v>298</v>
      </c>
      <c r="C125" s="426"/>
      <c r="D125" s="102">
        <v>20057.756</v>
      </c>
      <c r="E125" s="234">
        <v>2.68</v>
      </c>
      <c r="F125" s="234">
        <f t="shared" si="7"/>
        <v>45554.91</v>
      </c>
      <c r="G125" s="393">
        <f t="shared" si="8"/>
        <v>8199.88</v>
      </c>
      <c r="H125" s="401">
        <f t="shared" si="6"/>
        <v>53754.79</v>
      </c>
      <c r="I125" s="254"/>
      <c r="J125" s="67"/>
      <c r="K125" s="336"/>
      <c r="L125" s="52"/>
      <c r="M125" s="52"/>
      <c r="N125" s="69"/>
      <c r="O125" s="55"/>
      <c r="P125" s="55"/>
    </row>
    <row r="126" spans="1:16" s="56" customFormat="1" ht="37.5" customHeight="1">
      <c r="A126" s="267" t="s">
        <v>399</v>
      </c>
      <c r="B126" s="392" t="s">
        <v>298</v>
      </c>
      <c r="C126" s="425"/>
      <c r="D126" s="102">
        <v>0</v>
      </c>
      <c r="E126" s="234">
        <v>1.88</v>
      </c>
      <c r="F126" s="234">
        <f t="shared" si="7"/>
        <v>0</v>
      </c>
      <c r="G126" s="393">
        <f t="shared" si="8"/>
        <v>0</v>
      </c>
      <c r="H126" s="401">
        <f t="shared" si="6"/>
        <v>0</v>
      </c>
      <c r="I126" s="71"/>
      <c r="J126" s="67"/>
      <c r="K126" s="336"/>
      <c r="L126" s="52"/>
      <c r="M126" s="52"/>
      <c r="N126" s="69"/>
      <c r="O126" s="55"/>
      <c r="P126" s="55"/>
    </row>
    <row r="127" spans="1:16" s="56" customFormat="1" ht="70.5" customHeight="1">
      <c r="A127" s="267" t="s">
        <v>400</v>
      </c>
      <c r="B127" s="399" t="s">
        <v>353</v>
      </c>
      <c r="C127" s="400" t="s">
        <v>401</v>
      </c>
      <c r="D127" s="102">
        <v>7227.097</v>
      </c>
      <c r="E127" s="234">
        <v>2.68</v>
      </c>
      <c r="F127" s="234">
        <f t="shared" si="7"/>
        <v>16414.08</v>
      </c>
      <c r="G127" s="393">
        <f t="shared" si="8"/>
        <v>2954.54</v>
      </c>
      <c r="H127" s="401">
        <f t="shared" si="6"/>
        <v>19368.62</v>
      </c>
      <c r="I127" s="71"/>
      <c r="J127" s="67"/>
      <c r="K127" s="336"/>
      <c r="L127" s="52"/>
      <c r="M127" s="52"/>
      <c r="N127" s="69"/>
      <c r="O127" s="55"/>
      <c r="P127" s="55"/>
    </row>
    <row r="128" spans="1:16" ht="31.5" customHeight="1" thickBot="1">
      <c r="A128" s="335" t="s">
        <v>40</v>
      </c>
      <c r="B128" s="331" t="s">
        <v>34</v>
      </c>
      <c r="C128" s="402"/>
      <c r="D128" s="332">
        <f>D6+D23</f>
        <v>24168795.932</v>
      </c>
      <c r="E128" s="246"/>
      <c r="F128" s="247">
        <f>F6+F23</f>
        <v>91803390.33</v>
      </c>
      <c r="G128" s="333">
        <f>G6+G23</f>
        <v>16524610.52</v>
      </c>
      <c r="H128" s="334">
        <f>H6+H23</f>
        <v>108328000.85</v>
      </c>
      <c r="I128" s="71"/>
      <c r="J128" s="78"/>
      <c r="K128" s="177"/>
      <c r="L128" s="178"/>
      <c r="M128" s="178"/>
      <c r="N128" s="178"/>
      <c r="O128" s="178"/>
      <c r="P128" s="179"/>
    </row>
    <row r="129" spans="1:15" ht="6.75" customHeight="1" thickBot="1">
      <c r="A129" s="269"/>
      <c r="B129" s="16"/>
      <c r="C129" s="398"/>
      <c r="D129" s="180"/>
      <c r="E129" s="180"/>
      <c r="F129" s="181"/>
      <c r="G129" s="181"/>
      <c r="H129" s="270"/>
      <c r="I129" s="71"/>
      <c r="J129" s="78"/>
      <c r="K129" s="10"/>
      <c r="L129" s="10"/>
      <c r="M129" s="10"/>
      <c r="N129" s="10"/>
      <c r="O129" s="10"/>
    </row>
    <row r="130" spans="1:15" ht="15" customHeight="1" thickBot="1">
      <c r="A130" s="73" t="s">
        <v>33</v>
      </c>
      <c r="B130" s="480" t="s">
        <v>35</v>
      </c>
      <c r="C130" s="481"/>
      <c r="D130" s="182"/>
      <c r="E130" s="159"/>
      <c r="F130" s="74"/>
      <c r="G130" s="74"/>
      <c r="H130" s="160"/>
      <c r="I130" s="71"/>
      <c r="J130" s="78"/>
      <c r="K130" s="10"/>
      <c r="L130" s="10"/>
      <c r="M130" s="10"/>
      <c r="N130" s="10"/>
      <c r="O130" s="10"/>
    </row>
    <row r="131" spans="1:15" ht="14.25" customHeight="1">
      <c r="A131" s="86" t="s">
        <v>59</v>
      </c>
      <c r="B131" s="482" t="s">
        <v>12</v>
      </c>
      <c r="C131" s="483"/>
      <c r="D131" s="183">
        <f>D132+D133</f>
        <v>14458</v>
      </c>
      <c r="E131" s="372">
        <v>6.185</v>
      </c>
      <c r="F131" s="184">
        <f>F132+F133</f>
        <v>89422.73</v>
      </c>
      <c r="G131" s="184">
        <f>G132+G133</f>
        <v>16096.1</v>
      </c>
      <c r="H131" s="185">
        <f>H132+H133</f>
        <v>105518.83</v>
      </c>
      <c r="I131" s="71"/>
      <c r="J131" s="78"/>
      <c r="K131" s="148"/>
      <c r="L131" s="10"/>
      <c r="M131" s="10"/>
      <c r="N131" s="10"/>
      <c r="O131" s="10"/>
    </row>
    <row r="132" spans="1:15" ht="15" customHeight="1">
      <c r="A132" s="88" t="s">
        <v>60</v>
      </c>
      <c r="B132" s="484" t="s">
        <v>36</v>
      </c>
      <c r="C132" s="485"/>
      <c r="D132" s="370">
        <f>1368+2195</f>
        <v>3563</v>
      </c>
      <c r="E132" s="373">
        <v>6.185</v>
      </c>
      <c r="F132" s="371">
        <f>H132-G132</f>
        <v>22037.15</v>
      </c>
      <c r="G132" s="188">
        <f>H132/6.5555555</f>
        <v>3966.69</v>
      </c>
      <c r="H132" s="189">
        <f>D132*E132*1.18</f>
        <v>26003.84</v>
      </c>
      <c r="I132" s="71"/>
      <c r="J132" s="78"/>
      <c r="K132" s="10"/>
      <c r="L132" s="10"/>
      <c r="M132" s="10"/>
      <c r="N132" s="10"/>
      <c r="O132" s="10"/>
    </row>
    <row r="133" spans="1:15" ht="14.25" customHeight="1">
      <c r="A133" s="88" t="s">
        <v>61</v>
      </c>
      <c r="B133" s="484" t="s">
        <v>16</v>
      </c>
      <c r="C133" s="485"/>
      <c r="D133" s="370">
        <f>D134+D135</f>
        <v>10895</v>
      </c>
      <c r="E133" s="373">
        <v>6.185</v>
      </c>
      <c r="F133" s="371">
        <f>H133-G133</f>
        <v>67385.58</v>
      </c>
      <c r="G133" s="188">
        <f>G134+G135</f>
        <v>12129.41</v>
      </c>
      <c r="H133" s="189">
        <f>H134+H135</f>
        <v>79514.99</v>
      </c>
      <c r="I133" s="71"/>
      <c r="J133" s="78"/>
      <c r="K133" s="148"/>
      <c r="L133" s="10"/>
      <c r="M133" s="10"/>
      <c r="N133" s="10"/>
      <c r="O133" s="10"/>
    </row>
    <row r="134" spans="1:15" ht="12.75" customHeight="1">
      <c r="A134" s="88" t="s">
        <v>62</v>
      </c>
      <c r="B134" s="484" t="s">
        <v>44</v>
      </c>
      <c r="C134" s="485"/>
      <c r="D134" s="370">
        <f>2600</f>
        <v>2600</v>
      </c>
      <c r="E134" s="373">
        <v>6.185</v>
      </c>
      <c r="F134" s="371">
        <f>H134-G134</f>
        <v>16081</v>
      </c>
      <c r="G134" s="188">
        <f>H134/6.5555555</f>
        <v>2894.58</v>
      </c>
      <c r="H134" s="189">
        <f>D134*E134*1.18</f>
        <v>18975.58</v>
      </c>
      <c r="I134" s="71"/>
      <c r="J134" s="78"/>
      <c r="K134" s="10"/>
      <c r="L134" s="10"/>
      <c r="M134" s="10"/>
      <c r="N134" s="10"/>
      <c r="O134" s="10"/>
    </row>
    <row r="135" spans="1:15" ht="12.75" customHeight="1">
      <c r="A135" s="88" t="s">
        <v>63</v>
      </c>
      <c r="B135" s="484" t="s">
        <v>37</v>
      </c>
      <c r="C135" s="485"/>
      <c r="D135" s="370">
        <f>D136+D137</f>
        <v>8295</v>
      </c>
      <c r="E135" s="373">
        <v>6.185</v>
      </c>
      <c r="F135" s="371">
        <f>H135-G135</f>
        <v>51304.58</v>
      </c>
      <c r="G135" s="189">
        <f>G136+G137</f>
        <v>9234.83</v>
      </c>
      <c r="H135" s="189">
        <f>H136+H137</f>
        <v>60539.41</v>
      </c>
      <c r="I135" s="71"/>
      <c r="J135" s="78"/>
      <c r="K135" s="10"/>
      <c r="L135" s="10"/>
      <c r="M135" s="10"/>
      <c r="N135" s="10"/>
      <c r="O135" s="10"/>
    </row>
    <row r="136" spans="1:15" ht="14.25" customHeight="1">
      <c r="A136" s="88" t="s">
        <v>64</v>
      </c>
      <c r="B136" s="488" t="s">
        <v>294</v>
      </c>
      <c r="C136" s="489"/>
      <c r="D136" s="370">
        <f>3413+1047</f>
        <v>4460</v>
      </c>
      <c r="E136" s="373">
        <v>6.185</v>
      </c>
      <c r="F136" s="371">
        <f>D136*E136</f>
        <v>27585.1</v>
      </c>
      <c r="G136" s="188">
        <f>H136-F136</f>
        <v>4965.32</v>
      </c>
      <c r="H136" s="189">
        <f>F136*1.18</f>
        <v>32550.42</v>
      </c>
      <c r="I136" s="71"/>
      <c r="J136" s="78"/>
      <c r="K136" s="10"/>
      <c r="L136" s="10"/>
      <c r="M136" s="10"/>
      <c r="N136" s="10"/>
      <c r="O136" s="10"/>
    </row>
    <row r="137" spans="1:15" ht="16.5" customHeight="1">
      <c r="A137" s="190" t="s">
        <v>65</v>
      </c>
      <c r="B137" s="442" t="s">
        <v>39</v>
      </c>
      <c r="C137" s="442"/>
      <c r="D137" s="191">
        <f>3586+249</f>
        <v>3835</v>
      </c>
      <c r="E137" s="123">
        <v>6.185</v>
      </c>
      <c r="F137" s="187">
        <f>E137*D137</f>
        <v>23719.48</v>
      </c>
      <c r="G137" s="192">
        <f>H137/6.55555555</f>
        <v>4269.51</v>
      </c>
      <c r="H137" s="189">
        <f>F137*1.18</f>
        <v>27988.99</v>
      </c>
      <c r="I137" s="71"/>
      <c r="J137" s="78"/>
      <c r="K137" s="10"/>
      <c r="L137" s="10"/>
      <c r="M137" s="10"/>
      <c r="N137" s="10"/>
      <c r="O137" s="10"/>
    </row>
    <row r="138" spans="1:10" ht="14.25" customHeight="1">
      <c r="A138" s="190" t="s">
        <v>66</v>
      </c>
      <c r="B138" s="476" t="s">
        <v>50</v>
      </c>
      <c r="C138" s="476"/>
      <c r="D138" s="193">
        <v>6072.104</v>
      </c>
      <c r="E138" s="187">
        <v>2.68</v>
      </c>
      <c r="F138" s="187">
        <f>H138-G138</f>
        <v>13790.88</v>
      </c>
      <c r="G138" s="187">
        <v>2482.36</v>
      </c>
      <c r="H138" s="194">
        <v>16273.24</v>
      </c>
      <c r="I138" s="71"/>
      <c r="J138" s="78"/>
    </row>
    <row r="139" spans="1:10" ht="13.5" customHeight="1">
      <c r="A139" s="190"/>
      <c r="B139" s="476"/>
      <c r="C139" s="476"/>
      <c r="D139" s="193">
        <v>7490.864</v>
      </c>
      <c r="E139" s="187">
        <v>2.73</v>
      </c>
      <c r="F139" s="187">
        <f>H139-G139</f>
        <v>17330.56</v>
      </c>
      <c r="G139" s="187">
        <v>3119.5</v>
      </c>
      <c r="H139" s="194">
        <v>20450.06</v>
      </c>
      <c r="I139" s="71"/>
      <c r="J139" s="78"/>
    </row>
    <row r="140" spans="1:10" ht="12.75" customHeight="1">
      <c r="A140" s="190"/>
      <c r="B140" s="476"/>
      <c r="C140" s="476"/>
      <c r="D140" s="193">
        <v>6909.743</v>
      </c>
      <c r="E140" s="187">
        <v>1.36</v>
      </c>
      <c r="F140" s="187">
        <f>H140-G140</f>
        <v>7963.77</v>
      </c>
      <c r="G140" s="187">
        <f>H140/6.555555</f>
        <v>1433.48</v>
      </c>
      <c r="H140" s="194">
        <v>9397.25</v>
      </c>
      <c r="I140" s="71"/>
      <c r="J140" s="78"/>
    </row>
    <row r="141" spans="1:10" ht="16.5" customHeight="1" thickBot="1">
      <c r="A141" s="195" t="s">
        <v>67</v>
      </c>
      <c r="B141" s="494" t="s">
        <v>41</v>
      </c>
      <c r="C141" s="494"/>
      <c r="D141" s="196">
        <f>D138+D140+D139</f>
        <v>20472.711</v>
      </c>
      <c r="E141" s="197"/>
      <c r="F141" s="198">
        <f>H141-G141</f>
        <v>39085.21</v>
      </c>
      <c r="G141" s="199">
        <f>G138+G139+G140</f>
        <v>7035.34</v>
      </c>
      <c r="H141" s="200">
        <f>H138+H139+H140</f>
        <v>46120.55</v>
      </c>
      <c r="I141" s="71"/>
      <c r="J141" s="78"/>
    </row>
    <row r="142" spans="1:10" ht="16.5" customHeight="1" thickBot="1">
      <c r="A142" s="201" t="s">
        <v>68</v>
      </c>
      <c r="B142" s="477" t="s">
        <v>42</v>
      </c>
      <c r="C142" s="477"/>
      <c r="D142" s="202">
        <f>D131+D141</f>
        <v>34930.711</v>
      </c>
      <c r="E142" s="74"/>
      <c r="F142" s="203">
        <f>F131+F141</f>
        <v>128507.94</v>
      </c>
      <c r="G142" s="203">
        <f>G131+G141</f>
        <v>23131.44</v>
      </c>
      <c r="H142" s="204">
        <f>H131+H141</f>
        <v>151639.38</v>
      </c>
      <c r="I142" s="71"/>
      <c r="J142" s="78"/>
    </row>
    <row r="143" spans="1:10" ht="9" customHeight="1" thickBot="1">
      <c r="A143" s="269"/>
      <c r="B143" s="490"/>
      <c r="C143" s="491"/>
      <c r="D143" s="491"/>
      <c r="E143" s="491"/>
      <c r="F143" s="491"/>
      <c r="G143" s="491"/>
      <c r="H143" s="492"/>
      <c r="I143" s="71"/>
      <c r="J143" s="78"/>
    </row>
    <row r="144" spans="1:10" ht="15.75" customHeight="1">
      <c r="A144" s="292" t="s">
        <v>118</v>
      </c>
      <c r="B144" s="475" t="s">
        <v>287</v>
      </c>
      <c r="C144" s="475"/>
      <c r="D144" s="293">
        <v>11789.165</v>
      </c>
      <c r="E144" s="87">
        <v>1.88</v>
      </c>
      <c r="F144" s="115">
        <f>H144-G144</f>
        <v>18782.74</v>
      </c>
      <c r="G144" s="116">
        <f>H144/6.5555555</f>
        <v>3380.89</v>
      </c>
      <c r="H144" s="117">
        <v>22163.63</v>
      </c>
      <c r="I144" s="71"/>
      <c r="J144" s="72"/>
    </row>
    <row r="145" spans="1:10" ht="15.75" customHeight="1">
      <c r="A145" s="190" t="s">
        <v>89</v>
      </c>
      <c r="B145" s="476" t="s">
        <v>287</v>
      </c>
      <c r="C145" s="476"/>
      <c r="D145" s="294">
        <v>21286.969</v>
      </c>
      <c r="E145" s="8">
        <v>1.91</v>
      </c>
      <c r="F145" s="17">
        <f>H145-G145</f>
        <v>34456.03</v>
      </c>
      <c r="G145" s="21">
        <f>H145/6.5555555</f>
        <v>6202.08</v>
      </c>
      <c r="H145" s="118">
        <f>D145*E145</f>
        <v>40658.11</v>
      </c>
      <c r="I145" s="71"/>
      <c r="J145" s="72"/>
    </row>
    <row r="146" spans="1:10" ht="15" customHeight="1" thickBot="1">
      <c r="A146" s="295" t="s">
        <v>119</v>
      </c>
      <c r="B146" s="493" t="s">
        <v>287</v>
      </c>
      <c r="C146" s="493"/>
      <c r="D146" s="296">
        <v>4804.158</v>
      </c>
      <c r="E146" s="155">
        <v>0.95</v>
      </c>
      <c r="F146" s="297">
        <f>H146-G146</f>
        <v>3867.75</v>
      </c>
      <c r="G146" s="298">
        <f>H146/6.5555555</f>
        <v>696.2</v>
      </c>
      <c r="H146" s="299">
        <f>D146*E146</f>
        <v>4563.95</v>
      </c>
      <c r="I146" s="71"/>
      <c r="J146" s="72"/>
    </row>
    <row r="147" spans="1:10" ht="14.25" customHeight="1" thickBot="1">
      <c r="A147" s="171" t="s">
        <v>117</v>
      </c>
      <c r="B147" s="477" t="s">
        <v>288</v>
      </c>
      <c r="C147" s="477"/>
      <c r="D147" s="202">
        <f>SUM(D144:D146)</f>
        <v>37880.292</v>
      </c>
      <c r="E147" s="74"/>
      <c r="F147" s="75">
        <f>SUM(F144:F146)</f>
        <v>57106.52</v>
      </c>
      <c r="G147" s="76">
        <f>SUM(G144:G146)</f>
        <v>10279.17</v>
      </c>
      <c r="H147" s="77">
        <f>SUM(H144:H146)</f>
        <v>67385.69</v>
      </c>
      <c r="I147" s="71"/>
      <c r="J147" s="78"/>
    </row>
    <row r="148" spans="1:11" ht="23.25" customHeight="1" thickBot="1">
      <c r="A148" s="73" t="s">
        <v>52</v>
      </c>
      <c r="B148" s="478" t="s">
        <v>361</v>
      </c>
      <c r="C148" s="479"/>
      <c r="D148" s="309">
        <f>D147+D23</f>
        <v>13259818.748</v>
      </c>
      <c r="E148" s="310"/>
      <c r="F148" s="311">
        <f>F147+F23</f>
        <v>24157676.44</v>
      </c>
      <c r="G148" s="311">
        <f>G147+G23</f>
        <v>4348381.82</v>
      </c>
      <c r="H148" s="312">
        <f>H147+H23</f>
        <v>28506058.26</v>
      </c>
      <c r="I148" s="71"/>
      <c r="J148" s="78"/>
      <c r="K148" s="244"/>
    </row>
    <row r="149" spans="1:11" ht="23.25" customHeight="1" hidden="1" thickBot="1">
      <c r="A149" s="382" t="s">
        <v>362</v>
      </c>
      <c r="B149" s="486" t="s">
        <v>363</v>
      </c>
      <c r="C149" s="487"/>
      <c r="D149" s="383" t="e">
        <f>D150+D151+D152+D153+D154+D155</f>
        <v>#REF!</v>
      </c>
      <c r="E149" s="384"/>
      <c r="F149" s="385" t="e">
        <f>F150+F151+F152+F153+F154+F155</f>
        <v>#REF!</v>
      </c>
      <c r="G149" s="385" t="e">
        <f>G150+G151+G152+G153+G154+G155</f>
        <v>#REF!</v>
      </c>
      <c r="H149" s="385" t="e">
        <f>H150+H151+H152+H153+H154+H155</f>
        <v>#REF!</v>
      </c>
      <c r="I149" s="71"/>
      <c r="J149" s="78"/>
      <c r="K149" s="244"/>
    </row>
    <row r="150" spans="1:11" ht="23.25" customHeight="1" hidden="1" thickBot="1">
      <c r="A150" s="389" t="s">
        <v>370</v>
      </c>
      <c r="B150" s="495" t="s">
        <v>364</v>
      </c>
      <c r="C150" s="496"/>
      <c r="D150" s="386" t="e">
        <f>D38+D43+D48+D49+D57+D65+D70+D71+D76+D79+D84+D86+D88+D90+D91+D92+D93+D94+D95+D96+D98+D100+D101+D103+D105+D108+D110+D112+D114+D115+D117+D118+D120+D121+D122+D123+D125+#REF!+#REF!+D127</f>
        <v>#REF!</v>
      </c>
      <c r="E150" s="387">
        <v>2.68</v>
      </c>
      <c r="F150" s="388" t="e">
        <f>F38+F43+F48+F49+F57+F65+F70+F71+F76+F79+F84+F86+F88+F90+F91+F92+F93+F94+F95+F96+F98+F100+F101+F103+F105+F108+F110+F112+F114+F115+F117+F118+F120+F121+F122+F123+F125+#REF!+#REF!+F127</f>
        <v>#REF!</v>
      </c>
      <c r="G150" s="388" t="e">
        <f>G38+G43+G48+G49+G57+G65+G70+G71+G76+G79+G84+G86+G88+G90+G91+G92+G93+G94+G95+G96+G98+G100+G101+G103+G105+G108+G110+G112+G114+G115+G117+G118+G120+G121+G122+G123+G125+#REF!+#REF!+G127</f>
        <v>#REF!</v>
      </c>
      <c r="H150" s="388" t="e">
        <f>H38+H43+H48+H49+H57+H65+H70+H71+H76+H79+H84+H86+H88+H90+H91+H92+H93+H94+H95+H96+H98+H100+H101+H103+H105+H108+H110+H112+H114+H115+H117+H118+H120+H121+H122+H123+H125+#REF!+#REF!+H127</f>
        <v>#REF!</v>
      </c>
      <c r="I150" s="71"/>
      <c r="J150" s="78"/>
      <c r="K150" s="244"/>
    </row>
    <row r="151" spans="1:11" ht="23.25" customHeight="1" hidden="1" thickBot="1">
      <c r="A151" s="389" t="s">
        <v>371</v>
      </c>
      <c r="B151" s="495" t="s">
        <v>365</v>
      </c>
      <c r="C151" s="496"/>
      <c r="D151" s="386">
        <f>D34+D42+D64+D77+D80</f>
        <v>77583.3</v>
      </c>
      <c r="E151" s="387">
        <v>2.73</v>
      </c>
      <c r="F151" s="388">
        <f>F34+F42+F64+F77+F80</f>
        <v>179493.57</v>
      </c>
      <c r="G151" s="388">
        <f>G34+G42+G64+G77+G80</f>
        <v>32308.84</v>
      </c>
      <c r="H151" s="388">
        <f>H34+H42+H64+H77+H80</f>
        <v>211802.41</v>
      </c>
      <c r="I151" s="71"/>
      <c r="J151" s="78"/>
      <c r="K151" s="244"/>
    </row>
    <row r="152" spans="1:11" ht="23.25" customHeight="1" hidden="1" thickBot="1">
      <c r="A152" s="389" t="s">
        <v>372</v>
      </c>
      <c r="B152" s="495" t="s">
        <v>366</v>
      </c>
      <c r="C152" s="496"/>
      <c r="D152" s="386">
        <f>D36+D41+D66+D81++D78</f>
        <v>54533.54</v>
      </c>
      <c r="E152" s="387">
        <v>1.36</v>
      </c>
      <c r="F152" s="388">
        <f>F36+F41+F66+F81++F78</f>
        <v>62852.21</v>
      </c>
      <c r="G152" s="388">
        <f>G36+G41+G66+G81++G78</f>
        <v>11313.4</v>
      </c>
      <c r="H152" s="388">
        <f>H36+H41+H66+H81++H78</f>
        <v>74165.61</v>
      </c>
      <c r="I152" s="71"/>
      <c r="J152" s="78"/>
      <c r="K152" s="244"/>
    </row>
    <row r="153" spans="1:11" ht="23.25" customHeight="1" hidden="1" thickBot="1">
      <c r="A153" s="389" t="s">
        <v>373</v>
      </c>
      <c r="B153" s="495" t="s">
        <v>367</v>
      </c>
      <c r="C153" s="496"/>
      <c r="D153" s="386">
        <f>D46+D47+D50+D52+D56+D68+D72+D74+D85+D87+D89+D97+D99+D102+D104+D106+D107+D109+D111+D113+D116+D119+D126</f>
        <v>210993.882</v>
      </c>
      <c r="E153" s="387">
        <v>1.88</v>
      </c>
      <c r="F153" s="388">
        <f>F46+F47+F50+F52+F56+F68+F72+F74+F85+F87+F89+F97+F99+F102+F104+F106+F107+F109+F111+F113+F116+F119+F126</f>
        <v>336159.75</v>
      </c>
      <c r="G153" s="388">
        <f>G46+G47+G50+G52+G56+G68+G72+G74+G85+G87+G89+G97+G99+G102+G104+G106+G107+G109+G111+G113+G116+G119+G126</f>
        <v>60508.75</v>
      </c>
      <c r="H153" s="388">
        <f>H46+H47+H50+H52+H56+H68+H72+H74+H85+H87+H89+H97+H99+H102+H104+H106+H107+H109+H111+H113+H116+H119+H126</f>
        <v>396668.5</v>
      </c>
      <c r="I153" s="71"/>
      <c r="J153" s="78"/>
      <c r="K153" s="244"/>
    </row>
    <row r="154" spans="1:11" ht="23.25" customHeight="1" hidden="1" thickBot="1">
      <c r="A154" s="389" t="s">
        <v>374</v>
      </c>
      <c r="B154" s="495" t="s">
        <v>368</v>
      </c>
      <c r="C154" s="496"/>
      <c r="D154" s="386" t="e">
        <f>D35+D39+D44+D53+D67+D73+D82+#REF!</f>
        <v>#REF!</v>
      </c>
      <c r="E154" s="387">
        <v>1.91</v>
      </c>
      <c r="F154" s="388" t="e">
        <f>F35+F39+F44+F53+F67+F73+F82+#REF!</f>
        <v>#REF!</v>
      </c>
      <c r="G154" s="388" t="e">
        <f>G35+G39+G44+G53+G67+G73+G82+#REF!</f>
        <v>#REF!</v>
      </c>
      <c r="H154" s="388" t="e">
        <f>H35+H39+H44+H53+H67+H73+H82+#REF!</f>
        <v>#REF!</v>
      </c>
      <c r="I154" s="71"/>
      <c r="J154" s="78"/>
      <c r="K154" s="244"/>
    </row>
    <row r="155" spans="1:11" ht="23.25" customHeight="1" hidden="1" thickBot="1">
      <c r="A155" s="389" t="s">
        <v>375</v>
      </c>
      <c r="B155" s="495" t="s">
        <v>369</v>
      </c>
      <c r="C155" s="496"/>
      <c r="D155" s="386" t="e">
        <f>D37+D40+D45+D54+D69+D75+D83+#REF!</f>
        <v>#REF!</v>
      </c>
      <c r="E155" s="387">
        <v>0.95</v>
      </c>
      <c r="F155" s="388" t="e">
        <f>F37+F40+F45+F54+F69+F75+F83+#REF!</f>
        <v>#REF!</v>
      </c>
      <c r="G155" s="388" t="e">
        <f>G37+G40+G45+G54+G69+G75+G83+#REF!</f>
        <v>#REF!</v>
      </c>
      <c r="H155" s="388" t="e">
        <f>H37+H40+H45+H54+H69+H75+H83+#REF!</f>
        <v>#REF!</v>
      </c>
      <c r="I155" s="71"/>
      <c r="J155" s="78"/>
      <c r="K155" s="244"/>
    </row>
    <row r="156" spans="1:12" ht="24.75" customHeight="1">
      <c r="A156" s="308" t="s">
        <v>53</v>
      </c>
      <c r="B156" s="410" t="s">
        <v>268</v>
      </c>
      <c r="C156" s="411"/>
      <c r="D156" s="318">
        <f>D10</f>
        <v>5665759.276</v>
      </c>
      <c r="E156" s="319"/>
      <c r="F156" s="320">
        <f>F10</f>
        <v>35042724.23</v>
      </c>
      <c r="G156" s="320">
        <f>G10</f>
        <v>6307690.43</v>
      </c>
      <c r="H156" s="321">
        <f>H10</f>
        <v>41350414.66</v>
      </c>
      <c r="I156" s="71"/>
      <c r="J156" s="78"/>
      <c r="L156" s="290"/>
    </row>
    <row r="157" spans="1:11" ht="28.5" customHeight="1">
      <c r="A157" s="257" t="s">
        <v>54</v>
      </c>
      <c r="B157" s="408" t="s">
        <v>269</v>
      </c>
      <c r="C157" s="409"/>
      <c r="D157" s="208">
        <f>D7+D8+D9</f>
        <v>5281098.2</v>
      </c>
      <c r="E157" s="209"/>
      <c r="F157" s="210">
        <f>F7+F8+F9</f>
        <v>32660096.18</v>
      </c>
      <c r="G157" s="210">
        <f>G7+G8+G9</f>
        <v>5878817.44</v>
      </c>
      <c r="H157" s="272">
        <f>H7+H8+H9</f>
        <v>38538913.62</v>
      </c>
      <c r="I157" s="71"/>
      <c r="J157" s="78"/>
      <c r="K157" s="148"/>
    </row>
    <row r="158" spans="1:11" ht="26.25" customHeight="1">
      <c r="A158" s="257" t="s">
        <v>55</v>
      </c>
      <c r="B158" s="499" t="s">
        <v>270</v>
      </c>
      <c r="C158" s="500"/>
      <c r="D158" s="211">
        <f>D148+D156+D157</f>
        <v>24206676.224</v>
      </c>
      <c r="E158" s="212"/>
      <c r="F158" s="213">
        <f>F148+F156+F157</f>
        <v>91860496.85</v>
      </c>
      <c r="G158" s="213">
        <f>G148+G156+G157</f>
        <v>16534889.69</v>
      </c>
      <c r="H158" s="273">
        <f>H148+H156+H157</f>
        <v>108395386.54</v>
      </c>
      <c r="I158" s="71"/>
      <c r="J158" s="78"/>
      <c r="K158" s="148"/>
    </row>
    <row r="159" spans="1:11" ht="13.5" customHeight="1">
      <c r="A159" s="257" t="s">
        <v>70</v>
      </c>
      <c r="B159" s="417" t="s">
        <v>323</v>
      </c>
      <c r="C159" s="418"/>
      <c r="D159" s="303">
        <f>4190477+D160</f>
        <v>4343118.3</v>
      </c>
      <c r="E159" s="300"/>
      <c r="F159" s="301"/>
      <c r="G159" s="301"/>
      <c r="H159" s="302"/>
      <c r="I159" s="71"/>
      <c r="J159" s="291"/>
      <c r="K159" s="148"/>
    </row>
    <row r="160" spans="1:11" ht="15" customHeight="1">
      <c r="A160" s="257"/>
      <c r="B160" s="497" t="s">
        <v>324</v>
      </c>
      <c r="C160" s="498"/>
      <c r="D160" s="340">
        <v>152641.3</v>
      </c>
      <c r="E160" s="341"/>
      <c r="F160" s="337"/>
      <c r="G160" s="301"/>
      <c r="H160" s="302"/>
      <c r="I160" s="71"/>
      <c r="J160" s="291"/>
      <c r="K160" s="148"/>
    </row>
    <row r="161" spans="1:11" ht="17.25" customHeight="1">
      <c r="A161" s="257" t="s">
        <v>271</v>
      </c>
      <c r="B161" s="413" t="s">
        <v>321</v>
      </c>
      <c r="C161" s="414"/>
      <c r="D161" s="338">
        <f>D158+D159</f>
        <v>28549794.524</v>
      </c>
      <c r="E161" s="339"/>
      <c r="F161" s="305">
        <f>F158</f>
        <v>91860496.85</v>
      </c>
      <c r="G161" s="305">
        <f>G158</f>
        <v>16534889.69</v>
      </c>
      <c r="H161" s="306">
        <f>H158</f>
        <v>108395386.54</v>
      </c>
      <c r="I161" s="71"/>
      <c r="J161" s="291"/>
      <c r="K161" s="148"/>
    </row>
    <row r="162" spans="1:11" ht="15" customHeight="1">
      <c r="A162" s="257" t="s">
        <v>272</v>
      </c>
      <c r="B162" s="413" t="s">
        <v>290</v>
      </c>
      <c r="C162" s="414"/>
      <c r="D162" s="304">
        <v>6940915.016</v>
      </c>
      <c r="E162" s="304">
        <v>3.4</v>
      </c>
      <c r="F162" s="305">
        <f>D162*E162</f>
        <v>23599111.05</v>
      </c>
      <c r="G162" s="305">
        <f>H162-F162</f>
        <v>4247839.99</v>
      </c>
      <c r="H162" s="306">
        <f>F162*1.18</f>
        <v>27846951.04</v>
      </c>
      <c r="I162" s="71"/>
      <c r="J162" s="291"/>
      <c r="K162" s="148"/>
    </row>
    <row r="163" spans="1:14" ht="17.25" customHeight="1">
      <c r="A163" s="257" t="s">
        <v>276</v>
      </c>
      <c r="B163" s="413" t="s">
        <v>322</v>
      </c>
      <c r="C163" s="414"/>
      <c r="D163" s="304">
        <f>D161+D162</f>
        <v>35490709.54</v>
      </c>
      <c r="E163" s="342"/>
      <c r="F163" s="347">
        <f>F162+F161</f>
        <v>115459607.9</v>
      </c>
      <c r="G163" s="347">
        <f>G162+G161</f>
        <v>20782729.68</v>
      </c>
      <c r="H163" s="344">
        <f>H162+H161</f>
        <v>136242337.58</v>
      </c>
      <c r="I163" s="71"/>
      <c r="J163" s="291"/>
      <c r="K163" s="148"/>
      <c r="M163" s="290"/>
      <c r="N163" s="12"/>
    </row>
    <row r="164" spans="1:14" ht="24.75" customHeight="1">
      <c r="A164" s="257" t="s">
        <v>277</v>
      </c>
      <c r="B164" s="415" t="s">
        <v>273</v>
      </c>
      <c r="C164" s="416"/>
      <c r="D164" s="241">
        <f>D131</f>
        <v>14458</v>
      </c>
      <c r="E164" s="343"/>
      <c r="F164" s="307">
        <f>H164-G164</f>
        <v>89422.73</v>
      </c>
      <c r="G164" s="307">
        <f>G131</f>
        <v>16096.1</v>
      </c>
      <c r="H164" s="345">
        <f>H131</f>
        <v>105518.83</v>
      </c>
      <c r="I164" s="71"/>
      <c r="J164" s="78"/>
      <c r="K164" s="148"/>
      <c r="M164" s="327"/>
      <c r="N164" s="290"/>
    </row>
    <row r="165" spans="1:11" ht="15.75" customHeight="1">
      <c r="A165" s="257" t="s">
        <v>278</v>
      </c>
      <c r="B165" s="405" t="s">
        <v>274</v>
      </c>
      <c r="C165" s="406"/>
      <c r="D165" s="241">
        <f>D141</f>
        <v>20472.711</v>
      </c>
      <c r="E165" s="242"/>
      <c r="F165" s="346">
        <f>H165-G165</f>
        <v>39085.21</v>
      </c>
      <c r="G165" s="346">
        <f>G141</f>
        <v>7035.34</v>
      </c>
      <c r="H165" s="274">
        <f>H141</f>
        <v>46120.55</v>
      </c>
      <c r="I165" s="71"/>
      <c r="J165" s="78"/>
      <c r="K165" s="148"/>
    </row>
    <row r="166" spans="1:11" ht="15.75" customHeight="1" thickBot="1">
      <c r="A166" s="257" t="s">
        <v>285</v>
      </c>
      <c r="B166" s="407" t="s">
        <v>291</v>
      </c>
      <c r="C166" s="407"/>
      <c r="D166" s="313">
        <f>D164+D165</f>
        <v>34930.711</v>
      </c>
      <c r="E166" s="322"/>
      <c r="F166" s="307">
        <f>H166-G166</f>
        <v>128507.94</v>
      </c>
      <c r="G166" s="307">
        <f>G164+G165</f>
        <v>23131.44</v>
      </c>
      <c r="H166" s="314">
        <f>H164+H165</f>
        <v>151639.38</v>
      </c>
      <c r="I166" s="71"/>
      <c r="J166" s="78"/>
      <c r="K166" s="148"/>
    </row>
    <row r="167" spans="1:11" ht="39" customHeight="1" thickBot="1">
      <c r="A167" s="323" t="s">
        <v>292</v>
      </c>
      <c r="B167" s="412" t="s">
        <v>293</v>
      </c>
      <c r="C167" s="412"/>
      <c r="D167" s="325">
        <f>D163+D166</f>
        <v>35525640.251</v>
      </c>
      <c r="E167" s="315"/>
      <c r="F167" s="316">
        <f>F163+F166</f>
        <v>115588115.84</v>
      </c>
      <c r="G167" s="316">
        <f>G163+G166</f>
        <v>20805861.12</v>
      </c>
      <c r="H167" s="317">
        <f>H163+H166</f>
        <v>136393976.96</v>
      </c>
      <c r="I167" s="71"/>
      <c r="J167" s="78"/>
      <c r="K167" s="12"/>
    </row>
    <row r="168" spans="1:11" ht="12.75" customHeight="1">
      <c r="A168" s="217"/>
      <c r="B168" s="376"/>
      <c r="C168" s="376"/>
      <c r="D168" s="377"/>
      <c r="E168" s="374"/>
      <c r="F168" s="375"/>
      <c r="G168" s="375"/>
      <c r="H168" s="375"/>
      <c r="I168" s="71"/>
      <c r="J168" s="78"/>
      <c r="K168" s="12"/>
    </row>
    <row r="169" spans="1:9" ht="21" customHeight="1">
      <c r="A169" s="162"/>
      <c r="B169" s="162"/>
      <c r="C169" s="162"/>
      <c r="D169" s="162"/>
      <c r="E169" s="5"/>
      <c r="F169" s="5"/>
      <c r="I169" s="6"/>
    </row>
    <row r="170" spans="1:9" ht="19.5" customHeight="1">
      <c r="A170" s="162"/>
      <c r="B170" s="162"/>
      <c r="C170" s="162"/>
      <c r="D170" s="162"/>
      <c r="E170" s="5"/>
      <c r="F170" s="5"/>
      <c r="I170" s="6"/>
    </row>
    <row r="171" spans="1:9" ht="21" customHeight="1">
      <c r="A171" s="223"/>
      <c r="B171" s="404"/>
      <c r="C171" s="404"/>
      <c r="D171" s="162"/>
      <c r="E171" s="5"/>
      <c r="F171" s="5"/>
      <c r="I171" s="6"/>
    </row>
    <row r="172" spans="1:9" ht="12.75" customHeight="1">
      <c r="A172" s="223"/>
      <c r="B172" s="221"/>
      <c r="C172" s="221"/>
      <c r="D172" s="162"/>
      <c r="E172" s="5"/>
      <c r="F172" s="5"/>
      <c r="I172" s="6"/>
    </row>
    <row r="173" spans="1:9" ht="11.25" customHeight="1">
      <c r="A173" s="225"/>
      <c r="B173" s="135"/>
      <c r="C173" s="135"/>
      <c r="I173" s="12"/>
    </row>
    <row r="174" spans="1:9" ht="11.25" customHeight="1">
      <c r="A174" s="225"/>
      <c r="B174" s="226"/>
      <c r="C174" s="226"/>
      <c r="D174" s="5"/>
      <c r="E174" s="5"/>
      <c r="F174" s="5"/>
      <c r="I174" s="6"/>
    </row>
    <row r="175" spans="1:10" ht="11.25" customHeight="1">
      <c r="A175" s="137" t="s">
        <v>359</v>
      </c>
      <c r="B175" s="135"/>
      <c r="C175" s="227"/>
      <c r="D175" s="227"/>
      <c r="E175" s="228"/>
      <c r="F175" s="5"/>
      <c r="I175" s="6"/>
      <c r="J175" s="12"/>
    </row>
    <row r="176" spans="1:9" ht="12.75">
      <c r="A176" s="403"/>
      <c r="B176" s="403"/>
      <c r="D176" s="5"/>
      <c r="E176" s="5"/>
      <c r="F176" s="137"/>
      <c r="H176" s="137"/>
      <c r="I176" s="6"/>
    </row>
    <row r="177" spans="1:9" ht="12.75">
      <c r="A177" s="223"/>
      <c r="B177" s="229"/>
      <c r="C177" s="229"/>
      <c r="D177" s="5"/>
      <c r="E177" s="5"/>
      <c r="F177" s="137"/>
      <c r="H177" s="137"/>
      <c r="I177" s="6"/>
    </row>
    <row r="178" spans="1:9" ht="12.75">
      <c r="A178" s="223"/>
      <c r="B178" s="229"/>
      <c r="C178" s="229"/>
      <c r="D178" s="5"/>
      <c r="E178" s="5"/>
      <c r="F178" s="137"/>
      <c r="H178" s="137"/>
      <c r="I178" s="6"/>
    </row>
    <row r="179" spans="1:9" ht="12.75">
      <c r="A179" s="223"/>
      <c r="B179" s="5"/>
      <c r="C179" s="5"/>
      <c r="D179" s="5"/>
      <c r="E179" s="5"/>
      <c r="F179" s="5"/>
      <c r="I179" s="6"/>
    </row>
    <row r="180" spans="1:9" ht="12.75">
      <c r="A180" s="223"/>
      <c r="B180" s="5"/>
      <c r="C180" s="5"/>
      <c r="D180" s="5"/>
      <c r="E180" s="5"/>
      <c r="F180" s="5"/>
      <c r="I180" s="6"/>
    </row>
    <row r="181" spans="1:9" ht="12.75">
      <c r="A181" s="223"/>
      <c r="B181" s="5"/>
      <c r="C181" s="5"/>
      <c r="D181" s="5"/>
      <c r="E181" s="5"/>
      <c r="F181" s="5"/>
      <c r="I181" s="12"/>
    </row>
    <row r="182" spans="1:9" ht="12.75">
      <c r="A182" s="128"/>
      <c r="I182" s="6"/>
    </row>
    <row r="183" spans="1:9" ht="12.75">
      <c r="A183" s="128"/>
      <c r="I183" s="6"/>
    </row>
    <row r="184" spans="1:9" ht="12.75">
      <c r="A184" s="128"/>
      <c r="I184" s="6"/>
    </row>
    <row r="185" spans="1:9" ht="12.75">
      <c r="A185" s="128"/>
      <c r="I185" s="6"/>
    </row>
    <row r="186" spans="1:9" ht="12.75">
      <c r="A186" s="128"/>
      <c r="I186" s="6"/>
    </row>
    <row r="187" spans="1:9" ht="12.75">
      <c r="A187" s="128"/>
      <c r="I187" s="6"/>
    </row>
    <row r="188" spans="1:9" ht="12.75">
      <c r="A188" s="128"/>
      <c r="I188" s="6"/>
    </row>
    <row r="189" spans="1:9" ht="12.75">
      <c r="A189" s="128"/>
      <c r="I189" s="6"/>
    </row>
    <row r="190" spans="1:9" ht="12.75">
      <c r="A190" s="128"/>
      <c r="I190" s="6"/>
    </row>
    <row r="191" spans="1:9" ht="12.75">
      <c r="A191" s="128"/>
      <c r="I191" s="6"/>
    </row>
    <row r="192" spans="1:9" ht="12.75">
      <c r="A192" s="128"/>
      <c r="I192" s="6"/>
    </row>
    <row r="193" spans="1:9" ht="12.75">
      <c r="A193" s="128"/>
      <c r="I193" s="6"/>
    </row>
    <row r="194" spans="1:9" ht="12.75">
      <c r="A194" s="128"/>
      <c r="I194" s="6"/>
    </row>
    <row r="195" spans="1:9" ht="12.75">
      <c r="A195" s="128"/>
      <c r="I195" s="6"/>
    </row>
    <row r="196" spans="1:9" ht="12.75">
      <c r="A196" s="128"/>
      <c r="I196" s="6"/>
    </row>
    <row r="197" spans="1:9" ht="12.75">
      <c r="A197" s="128"/>
      <c r="I197" s="6"/>
    </row>
    <row r="198" spans="1:9" ht="12.75">
      <c r="A198" s="128"/>
      <c r="I198" s="6"/>
    </row>
    <row r="199" spans="1:9" ht="12.75">
      <c r="A199" s="128"/>
      <c r="I199" s="6"/>
    </row>
    <row r="200" spans="1:9" ht="12.75">
      <c r="A200" s="128"/>
      <c r="I200" s="6"/>
    </row>
    <row r="201" spans="1:9" ht="12.75">
      <c r="A201" s="128"/>
      <c r="I201" s="6"/>
    </row>
    <row r="202" spans="1:9" ht="12.75">
      <c r="A202" s="128"/>
      <c r="I202" s="6"/>
    </row>
    <row r="203" spans="1:9" ht="12.75">
      <c r="A203" s="128"/>
      <c r="I203" s="6"/>
    </row>
    <row r="204" spans="1:9" ht="12.75">
      <c r="A204" s="128"/>
      <c r="I204" s="6"/>
    </row>
    <row r="205" spans="1:9" ht="12.75">
      <c r="A205" s="128"/>
      <c r="I205" s="6"/>
    </row>
    <row r="206" spans="1:9" ht="12.75">
      <c r="A206" s="128"/>
      <c r="I206" s="6"/>
    </row>
    <row r="207" spans="1:9" ht="12.75">
      <c r="A207" s="128"/>
      <c r="I207" s="6"/>
    </row>
    <row r="208" spans="1:9" ht="12.75">
      <c r="A208" s="128"/>
      <c r="I208" s="6"/>
    </row>
    <row r="209" spans="1:9" ht="12.75">
      <c r="A209" s="128"/>
      <c r="I209" s="6"/>
    </row>
    <row r="210" spans="1:9" ht="12.75">
      <c r="A210" s="128"/>
      <c r="I210" s="6"/>
    </row>
    <row r="211" spans="1:9" ht="12.75">
      <c r="A211" s="128"/>
      <c r="I211" s="6"/>
    </row>
    <row r="212" spans="1:9" ht="12.75">
      <c r="A212" s="128"/>
      <c r="I212" s="6"/>
    </row>
    <row r="213" spans="1:9" ht="12.75">
      <c r="A213" s="128"/>
      <c r="I213" s="6"/>
    </row>
    <row r="214" spans="1:9" ht="12.75">
      <c r="A214" s="128"/>
      <c r="I214" s="6"/>
    </row>
    <row r="215" spans="1:9" ht="12.75">
      <c r="A215" s="128"/>
      <c r="I215" s="6"/>
    </row>
    <row r="216" spans="1:9" ht="12.75">
      <c r="A216" s="128"/>
      <c r="I216" s="6"/>
    </row>
    <row r="217" spans="1:9" ht="12.75">
      <c r="A217" s="128"/>
      <c r="I217" s="6"/>
    </row>
    <row r="218" spans="1:9" ht="12.75">
      <c r="A218" s="128"/>
      <c r="I218" s="6"/>
    </row>
    <row r="219" spans="1:9" ht="12.75">
      <c r="A219" s="128"/>
      <c r="I219" s="6"/>
    </row>
    <row r="220" spans="1:9" ht="12.75">
      <c r="A220" s="128"/>
      <c r="I220" s="6"/>
    </row>
    <row r="221" spans="1:9" ht="12.75">
      <c r="A221" s="128"/>
      <c r="I221" s="6"/>
    </row>
    <row r="222" spans="1:9" ht="12.75">
      <c r="A222" s="128"/>
      <c r="I222" s="6"/>
    </row>
    <row r="223" spans="1:9" ht="12.75">
      <c r="A223" s="128"/>
      <c r="I223" s="6"/>
    </row>
    <row r="224" spans="1:9" ht="12.75">
      <c r="A224" s="128"/>
      <c r="I224" s="6"/>
    </row>
    <row r="225" spans="1:9" ht="12.75">
      <c r="A225" s="128"/>
      <c r="I225" s="6"/>
    </row>
    <row r="226" spans="1:9" ht="12.75">
      <c r="A226" s="128"/>
      <c r="I226" s="6"/>
    </row>
    <row r="227" spans="1:9" ht="12.75">
      <c r="A227" s="128"/>
      <c r="I227" s="6"/>
    </row>
    <row r="228" spans="1:9" ht="12.75">
      <c r="A228" s="128"/>
      <c r="I228" s="6"/>
    </row>
    <row r="229" spans="1:9" ht="12.75">
      <c r="A229" s="128"/>
      <c r="I229" s="6"/>
    </row>
    <row r="230" spans="1:9" ht="12.75">
      <c r="A230" s="128"/>
      <c r="I230" s="6"/>
    </row>
    <row r="231" spans="1:9" ht="12.75">
      <c r="A231" s="128"/>
      <c r="I231" s="6"/>
    </row>
    <row r="232" spans="1:9" ht="12.75">
      <c r="A232" s="128"/>
      <c r="I232" s="6"/>
    </row>
    <row r="233" spans="1:9" ht="12.75">
      <c r="A233" s="128"/>
      <c r="I233" s="6"/>
    </row>
    <row r="234" spans="1:9" ht="12.75">
      <c r="A234" s="128"/>
      <c r="I234" s="6"/>
    </row>
    <row r="235" spans="1:9" ht="12.75">
      <c r="A235" s="128"/>
      <c r="I235" s="6"/>
    </row>
    <row r="236" spans="1:9" ht="12.75">
      <c r="A236" s="128"/>
      <c r="I236" s="6"/>
    </row>
    <row r="237" spans="1:9" ht="12.75">
      <c r="A237" s="128"/>
      <c r="I237" s="6"/>
    </row>
    <row r="238" spans="1:9" ht="12.75">
      <c r="A238" s="128"/>
      <c r="I238" s="6"/>
    </row>
    <row r="239" spans="1:9" ht="12.75">
      <c r="A239" s="128"/>
      <c r="I239" s="6"/>
    </row>
    <row r="240" spans="1:9" ht="12.75">
      <c r="A240" s="128"/>
      <c r="I240" s="6"/>
    </row>
    <row r="241" spans="1:9" ht="12.75">
      <c r="A241" s="128"/>
      <c r="I241" s="6"/>
    </row>
    <row r="242" spans="1:9" ht="12.75">
      <c r="A242" s="128"/>
      <c r="I242" s="6"/>
    </row>
    <row r="243" spans="1:9" ht="12.75">
      <c r="A243" s="128"/>
      <c r="I243" s="6"/>
    </row>
    <row r="244" spans="1:9" ht="12.75">
      <c r="A244" s="128"/>
      <c r="I244" s="6"/>
    </row>
    <row r="245" spans="1:9" ht="12.75">
      <c r="A245" s="128"/>
      <c r="I245" s="6"/>
    </row>
    <row r="246" spans="1:9" ht="12.75">
      <c r="A246" s="128"/>
      <c r="I246" s="6"/>
    </row>
    <row r="247" spans="1:9" ht="12.75">
      <c r="A247" s="128"/>
      <c r="I247" s="6"/>
    </row>
    <row r="248" spans="1:9" ht="12.75">
      <c r="A248" s="128"/>
      <c r="I248" s="6"/>
    </row>
    <row r="249" spans="1:9" ht="12.75">
      <c r="A249" s="128"/>
      <c r="I249" s="6"/>
    </row>
    <row r="250" spans="1:9" ht="12.75">
      <c r="A250" s="128"/>
      <c r="I250" s="6"/>
    </row>
    <row r="251" spans="1:9" ht="12.75">
      <c r="A251" s="128"/>
      <c r="I251" s="6"/>
    </row>
    <row r="252" spans="1:9" ht="12.75">
      <c r="A252" s="128"/>
      <c r="I252" s="6"/>
    </row>
    <row r="253" spans="1:9" ht="12.75">
      <c r="A253" s="128"/>
      <c r="I253" s="6"/>
    </row>
    <row r="254" spans="1:9" ht="12.75">
      <c r="A254" s="128"/>
      <c r="I254" s="6"/>
    </row>
    <row r="255" spans="1:9" ht="12.75">
      <c r="A255" s="128"/>
      <c r="I255" s="6"/>
    </row>
    <row r="256" spans="1:9" ht="12.75">
      <c r="A256" s="128"/>
      <c r="I256" s="6"/>
    </row>
    <row r="257" spans="1:9" ht="12.75">
      <c r="A257" s="128"/>
      <c r="I257" s="6"/>
    </row>
    <row r="258" spans="1:9" ht="12.75">
      <c r="A258" s="128"/>
      <c r="I258" s="6"/>
    </row>
  </sheetData>
  <sheetProtection/>
  <mergeCells count="106">
    <mergeCell ref="B2:H2"/>
    <mergeCell ref="B161:C161"/>
    <mergeCell ref="B162:C162"/>
    <mergeCell ref="B150:C150"/>
    <mergeCell ref="B151:C151"/>
    <mergeCell ref="B152:C152"/>
    <mergeCell ref="B153:C153"/>
    <mergeCell ref="B160:C160"/>
    <mergeCell ref="B155:C155"/>
    <mergeCell ref="B158:C158"/>
    <mergeCell ref="B154:C154"/>
    <mergeCell ref="B149:C149"/>
    <mergeCell ref="B135:C135"/>
    <mergeCell ref="B136:C136"/>
    <mergeCell ref="B143:H143"/>
    <mergeCell ref="B146:C146"/>
    <mergeCell ref="B137:C137"/>
    <mergeCell ref="B138:C138"/>
    <mergeCell ref="B141:C141"/>
    <mergeCell ref="B139:C139"/>
    <mergeCell ref="B140:C140"/>
    <mergeCell ref="B144:C144"/>
    <mergeCell ref="B145:C145"/>
    <mergeCell ref="B147:C147"/>
    <mergeCell ref="B148:C148"/>
    <mergeCell ref="B142:C142"/>
    <mergeCell ref="B130:C130"/>
    <mergeCell ref="B131:C131"/>
    <mergeCell ref="B132:C132"/>
    <mergeCell ref="B133:C133"/>
    <mergeCell ref="B134:C134"/>
    <mergeCell ref="C107:C109"/>
    <mergeCell ref="C117:C118"/>
    <mergeCell ref="C119:C121"/>
    <mergeCell ref="C122:C123"/>
    <mergeCell ref="C124:C126"/>
    <mergeCell ref="C100:C102"/>
    <mergeCell ref="C114:C116"/>
    <mergeCell ref="C110:C113"/>
    <mergeCell ref="C73:C78"/>
    <mergeCell ref="C70:C72"/>
    <mergeCell ref="C103:C106"/>
    <mergeCell ref="C86:C89"/>
    <mergeCell ref="C90:C91"/>
    <mergeCell ref="C96:C99"/>
    <mergeCell ref="C92:C93"/>
    <mergeCell ref="V26:V35"/>
    <mergeCell ref="B27:C27"/>
    <mergeCell ref="C34:C37"/>
    <mergeCell ref="B31:B33"/>
    <mergeCell ref="C31:C33"/>
    <mergeCell ref="C94:C95"/>
    <mergeCell ref="U26:U35"/>
    <mergeCell ref="B28:B30"/>
    <mergeCell ref="C28:C30"/>
    <mergeCell ref="B58:B60"/>
    <mergeCell ref="S26:S35"/>
    <mergeCell ref="T26:T35"/>
    <mergeCell ref="K38:K39"/>
    <mergeCell ref="C49:C52"/>
    <mergeCell ref="C56:C57"/>
    <mergeCell ref="C53:C55"/>
    <mergeCell ref="B23:C23"/>
    <mergeCell ref="B24:C24"/>
    <mergeCell ref="B25:C25"/>
    <mergeCell ref="A62:A63"/>
    <mergeCell ref="B62:B63"/>
    <mergeCell ref="C62:C63"/>
    <mergeCell ref="A58:A60"/>
    <mergeCell ref="B6:C6"/>
    <mergeCell ref="B7:C7"/>
    <mergeCell ref="B10:C10"/>
    <mergeCell ref="B11:C11"/>
    <mergeCell ref="B8:C8"/>
    <mergeCell ref="C58:C60"/>
    <mergeCell ref="C38:C40"/>
    <mergeCell ref="C41:C48"/>
    <mergeCell ref="B19:C19"/>
    <mergeCell ref="B20:C20"/>
    <mergeCell ref="B3:H3"/>
    <mergeCell ref="B12:C12"/>
    <mergeCell ref="B13:C13"/>
    <mergeCell ref="A31:A33"/>
    <mergeCell ref="A28:A30"/>
    <mergeCell ref="B26:C26"/>
    <mergeCell ref="A4:A5"/>
    <mergeCell ref="B4:C5"/>
    <mergeCell ref="B14:C14"/>
    <mergeCell ref="B15:C15"/>
    <mergeCell ref="B16:C16"/>
    <mergeCell ref="C79:C83"/>
    <mergeCell ref="C84:C85"/>
    <mergeCell ref="B17:C17"/>
    <mergeCell ref="C64:C69"/>
    <mergeCell ref="B18:C18"/>
    <mergeCell ref="B9:C9"/>
    <mergeCell ref="A176:B176"/>
    <mergeCell ref="B171:C171"/>
    <mergeCell ref="B165:C165"/>
    <mergeCell ref="B166:C166"/>
    <mergeCell ref="B157:C157"/>
    <mergeCell ref="B156:C156"/>
    <mergeCell ref="B167:C167"/>
    <mergeCell ref="B163:C163"/>
    <mergeCell ref="B164:C164"/>
    <mergeCell ref="B159:C159"/>
  </mergeCells>
  <printOptions/>
  <pageMargins left="0.15748031496062992" right="0.1968503937007874" top="0.15748031496062992" bottom="0.15748031496062992" header="0.15748031496062992" footer="0.15748031496062992"/>
  <pageSetup horizontalDpi="300" verticalDpi="300" orientation="portrait" paperSize="9" scale="93" r:id="rId1"/>
  <rowBreaks count="1" manualBreakCount="1"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C243"/>
  <sheetViews>
    <sheetView zoomScalePageLayoutView="0" workbookViewId="0" topLeftCell="A115">
      <selection activeCell="B139" sqref="B139:C139"/>
    </sheetView>
  </sheetViews>
  <sheetFormatPr defaultColWidth="9.140625" defaultRowHeight="12.75"/>
  <cols>
    <col min="1" max="1" width="5.57421875" style="6" customWidth="1"/>
    <col min="2" max="2" width="33.00390625" style="6" customWidth="1"/>
    <col min="3" max="3" width="13.57421875" style="6" customWidth="1"/>
    <col min="4" max="4" width="12.28125" style="6" customWidth="1"/>
    <col min="5" max="5" width="8.7109375" style="6" customWidth="1"/>
    <col min="6" max="6" width="11.8515625" style="6" customWidth="1"/>
    <col min="7" max="7" width="12.421875" style="6" customWidth="1"/>
    <col min="8" max="8" width="11.8515625" style="6" customWidth="1"/>
    <col min="9" max="9" width="15.8515625" style="232" customWidth="1"/>
    <col min="10" max="10" width="13.8515625" style="6" bestFit="1" customWidth="1"/>
    <col min="11" max="11" width="14.7109375" style="6" customWidth="1"/>
    <col min="12" max="13" width="12.7109375" style="6" bestFit="1" customWidth="1"/>
    <col min="14" max="14" width="12.8515625" style="6" customWidth="1"/>
    <col min="15" max="15" width="12.7109375" style="6" bestFit="1" customWidth="1"/>
    <col min="16" max="16" width="11.7109375" style="6" bestFit="1" customWidth="1"/>
    <col min="17" max="17" width="28.28125" style="6" bestFit="1" customWidth="1"/>
    <col min="18" max="18" width="9.57421875" style="6" bestFit="1" customWidth="1"/>
    <col min="19" max="16384" width="9.140625" style="6" customWidth="1"/>
  </cols>
  <sheetData>
    <row r="1" spans="1:9" ht="16.5" customHeight="1">
      <c r="A1" s="128"/>
      <c r="B1" s="1" t="s">
        <v>0</v>
      </c>
      <c r="C1" s="1"/>
      <c r="F1" s="526" t="s">
        <v>1</v>
      </c>
      <c r="G1" s="526"/>
      <c r="H1" s="129"/>
      <c r="I1" s="6"/>
    </row>
    <row r="2" spans="1:9" ht="15.75" customHeight="1">
      <c r="A2" s="128"/>
      <c r="F2" s="524" t="s">
        <v>220</v>
      </c>
      <c r="G2" s="524"/>
      <c r="H2" s="524"/>
      <c r="I2" s="6"/>
    </row>
    <row r="3" spans="1:9" ht="15.75" customHeight="1">
      <c r="A3" s="128"/>
      <c r="F3" s="129" t="s">
        <v>219</v>
      </c>
      <c r="G3" s="129"/>
      <c r="H3" s="129"/>
      <c r="I3" s="6"/>
    </row>
    <row r="4" spans="1:9" ht="15" customHeight="1">
      <c r="A4" s="128"/>
      <c r="F4" s="130" t="s">
        <v>206</v>
      </c>
      <c r="G4" s="130"/>
      <c r="H4" s="130"/>
      <c r="I4" s="6"/>
    </row>
    <row r="5" spans="1:9" ht="15" customHeight="1">
      <c r="A5" s="128"/>
      <c r="F5" s="130" t="s">
        <v>260</v>
      </c>
      <c r="G5" s="130"/>
      <c r="H5" s="130"/>
      <c r="I5" s="6"/>
    </row>
    <row r="6" spans="1:9" ht="15.75" customHeight="1">
      <c r="A6" s="128"/>
      <c r="F6" s="131" t="s">
        <v>205</v>
      </c>
      <c r="G6" s="132"/>
      <c r="H6" s="132"/>
      <c r="I6" s="6"/>
    </row>
    <row r="7" spans="1:9" ht="12" customHeight="1">
      <c r="A7" s="128"/>
      <c r="F7" s="133"/>
      <c r="G7" s="134"/>
      <c r="H7" s="134"/>
      <c r="I7" s="6"/>
    </row>
    <row r="8" spans="1:9" ht="15" customHeight="1">
      <c r="A8" s="128"/>
      <c r="B8" s="135"/>
      <c r="C8" s="135"/>
      <c r="D8" s="136" t="s">
        <v>2</v>
      </c>
      <c r="E8" s="136"/>
      <c r="F8" s="137"/>
      <c r="G8" s="137"/>
      <c r="H8" s="137"/>
      <c r="I8" s="6"/>
    </row>
    <row r="9" spans="1:9" ht="13.5" customHeight="1" thickBot="1">
      <c r="A9" s="128"/>
      <c r="B9" s="428" t="s">
        <v>266</v>
      </c>
      <c r="C9" s="428"/>
      <c r="D9" s="428"/>
      <c r="E9" s="428"/>
      <c r="F9" s="428"/>
      <c r="G9" s="428"/>
      <c r="H9" s="428"/>
      <c r="I9" s="6"/>
    </row>
    <row r="10" spans="1:9" ht="23.25" customHeight="1" thickBot="1">
      <c r="A10" s="433"/>
      <c r="B10" s="435" t="s">
        <v>3</v>
      </c>
      <c r="C10" s="436"/>
      <c r="D10" s="138" t="s">
        <v>4</v>
      </c>
      <c r="E10" s="138" t="s">
        <v>5</v>
      </c>
      <c r="F10" s="138" t="s">
        <v>6</v>
      </c>
      <c r="G10" s="139" t="s">
        <v>7</v>
      </c>
      <c r="H10" s="140" t="s">
        <v>8</v>
      </c>
      <c r="I10" s="6"/>
    </row>
    <row r="11" spans="1:9" ht="14.25" customHeight="1" thickBot="1">
      <c r="A11" s="434"/>
      <c r="B11" s="437"/>
      <c r="C11" s="438"/>
      <c r="D11" s="141" t="s">
        <v>9</v>
      </c>
      <c r="E11" s="141"/>
      <c r="F11" s="141" t="s">
        <v>10</v>
      </c>
      <c r="G11" s="142" t="s">
        <v>10</v>
      </c>
      <c r="H11" s="143" t="s">
        <v>10</v>
      </c>
      <c r="I11" s="6"/>
    </row>
    <row r="12" spans="1:11" ht="13.5" customHeight="1" thickBot="1">
      <c r="A12" s="73" t="s">
        <v>11</v>
      </c>
      <c r="B12" s="439" t="s">
        <v>12</v>
      </c>
      <c r="C12" s="440"/>
      <c r="D12" s="144">
        <f>D13+D14</f>
        <v>10964916.444</v>
      </c>
      <c r="E12" s="145"/>
      <c r="F12" s="146">
        <f>F13+F14</f>
        <v>69990304.35</v>
      </c>
      <c r="G12" s="146">
        <f>G13+G14</f>
        <v>12598254.71</v>
      </c>
      <c r="H12" s="147">
        <f>H13+H14</f>
        <v>82588559.06</v>
      </c>
      <c r="I12" s="6"/>
      <c r="J12" s="13"/>
      <c r="K12" s="148"/>
    </row>
    <row r="13" spans="1:19" ht="12.75" customHeight="1">
      <c r="A13" s="255" t="s">
        <v>13</v>
      </c>
      <c r="B13" s="527" t="s">
        <v>14</v>
      </c>
      <c r="C13" s="528"/>
      <c r="D13" s="119">
        <f>5557440.929-D65-D66-D110</f>
        <v>5554887.929</v>
      </c>
      <c r="E13" s="120">
        <v>6.383</v>
      </c>
      <c r="F13" s="121">
        <f>H13-G13</f>
        <v>35458428.4</v>
      </c>
      <c r="G13" s="121">
        <f>6384943.95-G65-G66-G110</f>
        <v>6382517.05</v>
      </c>
      <c r="H13" s="256">
        <f>41856855.09-H65-H66-H110</f>
        <v>41840945.45</v>
      </c>
      <c r="I13" s="149"/>
      <c r="J13" s="12">
        <f>H13+H15+H18+H24+H110+H112+H114</f>
        <v>78300153.68</v>
      </c>
      <c r="K13" s="149" t="s">
        <v>108</v>
      </c>
      <c r="L13" s="10"/>
      <c r="M13" s="10"/>
      <c r="N13" s="10"/>
      <c r="P13" s="11"/>
      <c r="Q13" s="3"/>
      <c r="R13" s="5"/>
      <c r="S13" s="11"/>
    </row>
    <row r="14" spans="1:19" s="56" customFormat="1" ht="15" customHeight="1">
      <c r="A14" s="257" t="s">
        <v>15</v>
      </c>
      <c r="B14" s="484" t="s">
        <v>16</v>
      </c>
      <c r="C14" s="485"/>
      <c r="D14" s="122">
        <f>D15+D18+D19+D16+D17</f>
        <v>5410028.515</v>
      </c>
      <c r="E14" s="123"/>
      <c r="F14" s="124">
        <f>F15+F18+F19+F16+F17</f>
        <v>34531875.95</v>
      </c>
      <c r="G14" s="124">
        <f>G15+G18+G19+G16+G17</f>
        <v>6215737.66</v>
      </c>
      <c r="H14" s="258">
        <f>H15+H18+H19+H16+H17</f>
        <v>40747613.61</v>
      </c>
      <c r="K14" s="148"/>
      <c r="P14" s="11"/>
      <c r="Q14" s="3"/>
      <c r="R14" s="55"/>
      <c r="S14" s="11"/>
    </row>
    <row r="15" spans="1:19" ht="12" customHeight="1">
      <c r="A15" s="259" t="s">
        <v>17</v>
      </c>
      <c r="B15" s="419" t="s">
        <v>18</v>
      </c>
      <c r="C15" s="420"/>
      <c r="D15" s="125">
        <f>2934827.986-D16-D17-D112</f>
        <v>2933441.986</v>
      </c>
      <c r="E15" s="4">
        <v>6.383</v>
      </c>
      <c r="F15" s="8">
        <f aca="true" t="shared" si="0" ref="F15:F23">H15-G15</f>
        <v>18723474.22</v>
      </c>
      <c r="G15" s="2">
        <f>3371799.01-G16-G17-G112</f>
        <v>3370225.35</v>
      </c>
      <c r="H15" s="260">
        <f>22104015.74-H16-H17-H112</f>
        <v>22093699.57</v>
      </c>
      <c r="I15" s="9" t="s">
        <v>203</v>
      </c>
      <c r="K15" s="10"/>
      <c r="L15" s="80">
        <f>D15+D16+D17+D112</f>
        <v>2934828</v>
      </c>
      <c r="M15" s="79">
        <f>H15+H16+H17+H112</f>
        <v>22104015.74</v>
      </c>
      <c r="N15" s="12">
        <f>G15+G16+G17+G112</f>
        <v>3371799.01</v>
      </c>
      <c r="P15" s="11"/>
      <c r="Q15" s="3"/>
      <c r="R15" s="5"/>
      <c r="S15" s="11"/>
    </row>
    <row r="16" spans="1:19" ht="12" customHeight="1">
      <c r="A16" s="259" t="s">
        <v>111</v>
      </c>
      <c r="B16" s="419" t="s">
        <v>18</v>
      </c>
      <c r="C16" s="420"/>
      <c r="D16" s="125">
        <f>32+568</f>
        <v>600</v>
      </c>
      <c r="E16" s="4">
        <v>7.218</v>
      </c>
      <c r="F16" s="8">
        <f>H16-G16</f>
        <v>4330.8</v>
      </c>
      <c r="G16" s="2">
        <f>41.58+737.97</f>
        <v>779.55</v>
      </c>
      <c r="H16" s="260">
        <f>272.56+4837.79</f>
        <v>5110.35</v>
      </c>
      <c r="I16" s="9" t="s">
        <v>215</v>
      </c>
      <c r="K16" s="10"/>
      <c r="L16" s="10"/>
      <c r="M16" s="10"/>
      <c r="P16" s="11"/>
      <c r="Q16" s="3"/>
      <c r="R16" s="5"/>
      <c r="S16" s="11"/>
    </row>
    <row r="17" spans="1:19" ht="12" customHeight="1">
      <c r="A17" s="259" t="s">
        <v>110</v>
      </c>
      <c r="B17" s="419" t="s">
        <v>18</v>
      </c>
      <c r="C17" s="420"/>
      <c r="D17" s="125">
        <f>13+283</f>
        <v>296</v>
      </c>
      <c r="E17" s="4">
        <v>4.338</v>
      </c>
      <c r="F17" s="8">
        <f>H17-G17</f>
        <v>1284.04</v>
      </c>
      <c r="G17" s="2">
        <f>10.15+220.98</f>
        <v>231.13</v>
      </c>
      <c r="H17" s="260">
        <f>66.54+1448.63</f>
        <v>1515.17</v>
      </c>
      <c r="I17" s="9"/>
      <c r="K17" s="10"/>
      <c r="L17" s="10"/>
      <c r="M17" s="10"/>
      <c r="P17" s="11"/>
      <c r="Q17" s="3"/>
      <c r="R17" s="5"/>
      <c r="S17" s="11"/>
    </row>
    <row r="18" spans="1:19" ht="12.75" customHeight="1">
      <c r="A18" s="259" t="s">
        <v>19</v>
      </c>
      <c r="B18" s="419" t="s">
        <v>20</v>
      </c>
      <c r="C18" s="420"/>
      <c r="D18" s="126">
        <v>671951.529</v>
      </c>
      <c r="E18" s="7">
        <v>6.383</v>
      </c>
      <c r="F18" s="127">
        <f t="shared" si="0"/>
        <v>4289066.63</v>
      </c>
      <c r="G18" s="2">
        <v>772031.98</v>
      </c>
      <c r="H18" s="261">
        <v>5061098.61</v>
      </c>
      <c r="I18" s="9"/>
      <c r="P18" s="12"/>
      <c r="Q18" s="12"/>
      <c r="S18" s="12"/>
    </row>
    <row r="19" spans="1:14" ht="11.25" customHeight="1">
      <c r="A19" s="262" t="s">
        <v>21</v>
      </c>
      <c r="B19" s="421" t="s">
        <v>22</v>
      </c>
      <c r="C19" s="422"/>
      <c r="D19" s="125">
        <f>1807387-D113</f>
        <v>1803739</v>
      </c>
      <c r="E19" s="7">
        <v>6.383</v>
      </c>
      <c r="F19" s="8">
        <f t="shared" si="0"/>
        <v>11513720.26</v>
      </c>
      <c r="G19" s="8">
        <f>2076660.98-G113</f>
        <v>2072469.65</v>
      </c>
      <c r="H19" s="260">
        <f>13613666.42-H113</f>
        <v>13586189.91</v>
      </c>
      <c r="I19" s="9" t="s">
        <v>109</v>
      </c>
      <c r="J19" s="13">
        <f>D19+D113</f>
        <v>1807387</v>
      </c>
      <c r="K19" s="79">
        <f>H19+H113</f>
        <v>13613666.42</v>
      </c>
      <c r="L19" s="79">
        <f>G19+G113</f>
        <v>2076660.98</v>
      </c>
      <c r="M19" s="10"/>
      <c r="N19" s="10"/>
    </row>
    <row r="20" spans="1:11" ht="12" customHeight="1">
      <c r="A20" s="259" t="s">
        <v>23</v>
      </c>
      <c r="B20" s="419" t="s">
        <v>24</v>
      </c>
      <c r="C20" s="420"/>
      <c r="D20" s="125">
        <f>418083-D115</f>
        <v>414435</v>
      </c>
      <c r="E20" s="4">
        <v>6.383</v>
      </c>
      <c r="F20" s="8">
        <f t="shared" si="0"/>
        <v>2645338.61</v>
      </c>
      <c r="G20" s="2">
        <f>480352.28-G115</f>
        <v>476160.95</v>
      </c>
      <c r="H20" s="260">
        <f>3148976.07-H115</f>
        <v>3121499.56</v>
      </c>
      <c r="I20" s="12"/>
      <c r="K20" s="10"/>
    </row>
    <row r="21" spans="1:11" ht="12" customHeight="1">
      <c r="A21" s="259" t="s">
        <v>25</v>
      </c>
      <c r="B21" s="419" t="s">
        <v>26</v>
      </c>
      <c r="C21" s="420"/>
      <c r="D21" s="125">
        <f>141162</f>
        <v>141162</v>
      </c>
      <c r="E21" s="4">
        <v>6.383</v>
      </c>
      <c r="F21" s="8">
        <f>H21-G21</f>
        <v>901037.05</v>
      </c>
      <c r="G21" s="2">
        <f>162186.67</f>
        <v>162186.67</v>
      </c>
      <c r="H21" s="260">
        <f>1063223.72</f>
        <v>1063223.72</v>
      </c>
      <c r="I21" s="6" t="s">
        <v>102</v>
      </c>
      <c r="K21" s="10"/>
    </row>
    <row r="22" spans="1:15" ht="13.5" customHeight="1">
      <c r="A22" s="259" t="s">
        <v>69</v>
      </c>
      <c r="B22" s="419" t="s">
        <v>27</v>
      </c>
      <c r="C22" s="420"/>
      <c r="D22" s="125">
        <v>15220</v>
      </c>
      <c r="E22" s="4">
        <v>6.383</v>
      </c>
      <c r="F22" s="8">
        <f>H22-G22</f>
        <v>97149.26</v>
      </c>
      <c r="G22" s="2">
        <v>17486.86</v>
      </c>
      <c r="H22" s="260">
        <v>114636.12</v>
      </c>
      <c r="I22" s="6"/>
      <c r="K22" s="150">
        <f>H20+H21+H115</f>
        <v>4212199.79</v>
      </c>
      <c r="L22" s="150">
        <f>G20+G21+G115</f>
        <v>642538.95</v>
      </c>
      <c r="M22" s="150">
        <f>F20+F21+F115</f>
        <v>3569660.84</v>
      </c>
      <c r="N22" s="151">
        <f>D20+D21+D115</f>
        <v>559245</v>
      </c>
      <c r="O22" s="10"/>
    </row>
    <row r="23" spans="1:15" ht="13.5" customHeight="1">
      <c r="A23" s="259" t="s">
        <v>207</v>
      </c>
      <c r="B23" s="419" t="s">
        <v>212</v>
      </c>
      <c r="C23" s="420"/>
      <c r="D23" s="125">
        <v>69</v>
      </c>
      <c r="E23" s="4">
        <v>6.383</v>
      </c>
      <c r="F23" s="8">
        <f t="shared" si="0"/>
        <v>440.43</v>
      </c>
      <c r="G23" s="2">
        <v>79.28</v>
      </c>
      <c r="H23" s="260">
        <v>519.71</v>
      </c>
      <c r="I23" s="6"/>
      <c r="K23" s="150"/>
      <c r="L23" s="150"/>
      <c r="M23" s="150"/>
      <c r="N23" s="151"/>
      <c r="O23" s="10"/>
    </row>
    <row r="24" spans="1:15" ht="13.5" customHeight="1">
      <c r="A24" s="259" t="s">
        <v>214</v>
      </c>
      <c r="B24" s="419" t="s">
        <v>28</v>
      </c>
      <c r="C24" s="420"/>
      <c r="D24" s="125">
        <f>D19-D20-D21-D22-D23</f>
        <v>1232853</v>
      </c>
      <c r="E24" s="4">
        <v>6.383</v>
      </c>
      <c r="F24" s="8">
        <f>F19-F20-F21-F22-F23</f>
        <v>7869754.91</v>
      </c>
      <c r="G24" s="8">
        <f>G19-G20-G21-G22-G23</f>
        <v>1416555.89</v>
      </c>
      <c r="H24" s="260">
        <f>H19-H20-H21-H22-H23</f>
        <v>9286310.8</v>
      </c>
      <c r="I24" s="6"/>
      <c r="K24" s="148"/>
      <c r="L24" s="10"/>
      <c r="M24" s="10"/>
      <c r="N24" s="10"/>
      <c r="O24" s="10"/>
    </row>
    <row r="25" spans="1:15" ht="7.5" customHeight="1" thickBot="1">
      <c r="A25" s="263"/>
      <c r="B25" s="152"/>
      <c r="C25" s="152"/>
      <c r="D25" s="153"/>
      <c r="E25" s="154"/>
      <c r="F25" s="155"/>
      <c r="G25" s="155"/>
      <c r="H25" s="264"/>
      <c r="I25" s="6"/>
      <c r="K25" s="26"/>
      <c r="L25" s="26"/>
      <c r="M25" s="10"/>
      <c r="N25" s="10"/>
      <c r="O25" s="10"/>
    </row>
    <row r="26" spans="1:15" ht="51.75" customHeight="1" thickBot="1">
      <c r="A26" s="156" t="s">
        <v>29</v>
      </c>
      <c r="B26" s="157" t="s">
        <v>120</v>
      </c>
      <c r="C26" s="18" t="s">
        <v>116</v>
      </c>
      <c r="D26" s="158" t="s">
        <v>121</v>
      </c>
      <c r="E26" s="159" t="s">
        <v>5</v>
      </c>
      <c r="F26" s="74" t="s">
        <v>122</v>
      </c>
      <c r="G26" s="160" t="s">
        <v>124</v>
      </c>
      <c r="H26" s="161" t="s">
        <v>123</v>
      </c>
      <c r="I26" s="6"/>
      <c r="K26" s="26"/>
      <c r="L26" s="26"/>
      <c r="M26" s="10"/>
      <c r="N26" s="10"/>
      <c r="O26" s="10"/>
    </row>
    <row r="27" spans="1:15" ht="16.5" customHeight="1">
      <c r="A27" s="265" t="s">
        <v>31</v>
      </c>
      <c r="B27" s="453" t="s">
        <v>30</v>
      </c>
      <c r="C27" s="454"/>
      <c r="D27" s="81">
        <f>SUM(D28:D105)</f>
        <v>10025496.816</v>
      </c>
      <c r="E27" s="19"/>
      <c r="F27" s="19">
        <f>SUM(F28:F105)</f>
        <v>17461979.72</v>
      </c>
      <c r="G27" s="19">
        <f>SUM(G28:G105)</f>
        <v>3143156.33</v>
      </c>
      <c r="H27" s="266">
        <f>SUM(H28:H105)</f>
        <v>20605136.05</v>
      </c>
      <c r="I27" s="162"/>
      <c r="K27" s="163"/>
      <c r="L27" s="3"/>
      <c r="M27" s="10"/>
      <c r="N27" s="10"/>
      <c r="O27" s="10"/>
    </row>
    <row r="28" spans="1:16" ht="12.75" customHeight="1">
      <c r="A28" s="265" t="s">
        <v>56</v>
      </c>
      <c r="B28" s="423" t="s">
        <v>32</v>
      </c>
      <c r="C28" s="423"/>
      <c r="D28" s="164">
        <f>8598464.709-D119</f>
        <v>8585426.904</v>
      </c>
      <c r="E28" s="165"/>
      <c r="F28" s="17">
        <f aca="true" t="shared" si="1" ref="F28:F33">H28-G28</f>
        <v>15115076.81</v>
      </c>
      <c r="G28" s="98">
        <f>2725456.07-G119</f>
        <v>2720713.81</v>
      </c>
      <c r="H28" s="118">
        <f>17866878.79-H119</f>
        <v>17835790.62</v>
      </c>
      <c r="I28" s="162" t="s">
        <v>92</v>
      </c>
      <c r="J28" s="166" t="s">
        <v>93</v>
      </c>
      <c r="K28" s="167">
        <f>F28+F119</f>
        <v>15141422.72</v>
      </c>
      <c r="L28" s="168" t="s">
        <v>97</v>
      </c>
      <c r="M28" s="26"/>
      <c r="N28" s="169">
        <f>D28+D119</f>
        <v>8598464.709</v>
      </c>
      <c r="O28" s="167">
        <f>H28+H119</f>
        <v>17866878.79</v>
      </c>
      <c r="P28" s="167">
        <f>G28+G119</f>
        <v>2725456.07</v>
      </c>
    </row>
    <row r="29" spans="1:13" ht="12" customHeight="1">
      <c r="A29" s="265" t="s">
        <v>94</v>
      </c>
      <c r="B29" s="432" t="s">
        <v>112</v>
      </c>
      <c r="C29" s="432"/>
      <c r="D29" s="102">
        <v>4977</v>
      </c>
      <c r="E29" s="20">
        <v>2.58</v>
      </c>
      <c r="F29" s="17">
        <f t="shared" si="1"/>
        <v>10881.93</v>
      </c>
      <c r="G29" s="21">
        <f>H29/6.5555555-0.01</f>
        <v>1958.73</v>
      </c>
      <c r="H29" s="118">
        <f>D29*E29</f>
        <v>12840.66</v>
      </c>
      <c r="I29" s="71">
        <f>D29*6.383</f>
        <v>31768.19</v>
      </c>
      <c r="J29" s="22">
        <f>I29-F29</f>
        <v>20886.26</v>
      </c>
      <c r="L29" s="23">
        <f>D29*E29</f>
        <v>12840.66</v>
      </c>
      <c r="M29" s="23">
        <f>L29-H29</f>
        <v>0</v>
      </c>
    </row>
    <row r="30" spans="1:22" ht="12" customHeight="1">
      <c r="A30" s="265" t="s">
        <v>95</v>
      </c>
      <c r="B30" s="432" t="s">
        <v>103</v>
      </c>
      <c r="C30" s="432"/>
      <c r="D30" s="102">
        <v>19421</v>
      </c>
      <c r="E30" s="20">
        <v>2.63</v>
      </c>
      <c r="F30" s="17">
        <f t="shared" si="1"/>
        <v>43285.79</v>
      </c>
      <c r="G30" s="21">
        <v>7791.44</v>
      </c>
      <c r="H30" s="118">
        <f>D30*E30</f>
        <v>51077.23</v>
      </c>
      <c r="I30" s="71">
        <f>D30*7.218</f>
        <v>140180.78</v>
      </c>
      <c r="J30" s="22">
        <f aca="true" t="shared" si="2" ref="J30:J52">I30-F30</f>
        <v>96894.99</v>
      </c>
      <c r="K30" s="24"/>
      <c r="L30" s="23">
        <f>D30*E30</f>
        <v>51077.23</v>
      </c>
      <c r="M30" s="23">
        <f aca="true" t="shared" si="3" ref="M30:M69">L30-H30</f>
        <v>0</v>
      </c>
      <c r="N30" s="25"/>
      <c r="O30" s="26"/>
      <c r="P30" s="5"/>
      <c r="Q30" s="99"/>
      <c r="R30" s="100"/>
      <c r="S30" s="460"/>
      <c r="T30" s="460"/>
      <c r="U30" s="470"/>
      <c r="V30" s="460"/>
    </row>
    <row r="31" spans="1:22" ht="12" customHeight="1">
      <c r="A31" s="265" t="s">
        <v>57</v>
      </c>
      <c r="B31" s="462" t="s">
        <v>104</v>
      </c>
      <c r="C31" s="463"/>
      <c r="D31" s="102">
        <v>8805</v>
      </c>
      <c r="E31" s="29">
        <v>1.31</v>
      </c>
      <c r="F31" s="17">
        <f t="shared" si="1"/>
        <v>9775.05</v>
      </c>
      <c r="G31" s="21">
        <v>1759.5</v>
      </c>
      <c r="H31" s="118">
        <f>D31*E31</f>
        <v>11534.55</v>
      </c>
      <c r="I31" s="71">
        <f>D31*4.338</f>
        <v>38196.09</v>
      </c>
      <c r="J31" s="22">
        <f t="shared" si="2"/>
        <v>28421.04</v>
      </c>
      <c r="K31" s="27">
        <f>SUM(J29:J31)</f>
        <v>146202.29</v>
      </c>
      <c r="L31" s="23">
        <f aca="true" t="shared" si="4" ref="L31:L69">D31*E31</f>
        <v>11534.55</v>
      </c>
      <c r="M31" s="23">
        <f t="shared" si="3"/>
        <v>0</v>
      </c>
      <c r="N31" s="25"/>
      <c r="O31" s="28"/>
      <c r="P31" s="5"/>
      <c r="Q31" s="99"/>
      <c r="R31" s="101"/>
      <c r="S31" s="460"/>
      <c r="T31" s="460"/>
      <c r="U31" s="460"/>
      <c r="V31" s="460"/>
    </row>
    <row r="32" spans="1:22" ht="16.5" customHeight="1">
      <c r="A32" s="429" t="s">
        <v>58</v>
      </c>
      <c r="B32" s="463" t="s">
        <v>137</v>
      </c>
      <c r="C32" s="516" t="s">
        <v>138</v>
      </c>
      <c r="D32" s="102">
        <v>94680</v>
      </c>
      <c r="E32" s="29">
        <v>2.63</v>
      </c>
      <c r="F32" s="17">
        <f t="shared" si="1"/>
        <v>211024.07</v>
      </c>
      <c r="G32" s="21">
        <f>H32/6.5555555</f>
        <v>37984.33</v>
      </c>
      <c r="H32" s="118">
        <f>D32*E32</f>
        <v>249008.4</v>
      </c>
      <c r="I32" s="71">
        <f>D32*7.218</f>
        <v>683400.24</v>
      </c>
      <c r="J32" s="22">
        <f t="shared" si="2"/>
        <v>472376.17</v>
      </c>
      <c r="K32" s="27"/>
      <c r="L32" s="23">
        <f t="shared" si="4"/>
        <v>249008.4</v>
      </c>
      <c r="M32" s="23">
        <f t="shared" si="3"/>
        <v>0</v>
      </c>
      <c r="N32" s="25"/>
      <c r="O32" s="28"/>
      <c r="P32" s="5"/>
      <c r="Q32" s="99"/>
      <c r="R32" s="101"/>
      <c r="S32" s="460"/>
      <c r="T32" s="460"/>
      <c r="U32" s="460"/>
      <c r="V32" s="460"/>
    </row>
    <row r="33" spans="1:81" s="33" customFormat="1" ht="16.5" customHeight="1">
      <c r="A33" s="431"/>
      <c r="B33" s="525"/>
      <c r="C33" s="517"/>
      <c r="D33" s="102">
        <v>48708</v>
      </c>
      <c r="E33" s="29">
        <v>1.31</v>
      </c>
      <c r="F33" s="17">
        <f t="shared" si="1"/>
        <v>54074.14</v>
      </c>
      <c r="G33" s="21">
        <f>H33/6.5555555</f>
        <v>9733.34</v>
      </c>
      <c r="H33" s="118">
        <f>D33*E33</f>
        <v>63807.48</v>
      </c>
      <c r="I33" s="30">
        <f>D33*4.338</f>
        <v>211295.3</v>
      </c>
      <c r="J33" s="22">
        <f t="shared" si="2"/>
        <v>157221.16</v>
      </c>
      <c r="K33" s="27">
        <f>J32+J33</f>
        <v>629597.33</v>
      </c>
      <c r="L33" s="23">
        <f t="shared" si="4"/>
        <v>63807.48</v>
      </c>
      <c r="M33" s="23">
        <f t="shared" si="3"/>
        <v>0</v>
      </c>
      <c r="N33" s="25"/>
      <c r="O33" s="28"/>
      <c r="P33" s="32"/>
      <c r="Q33" s="99"/>
      <c r="R33" s="100"/>
      <c r="S33" s="460"/>
      <c r="T33" s="460"/>
      <c r="U33" s="460"/>
      <c r="V33" s="460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</row>
    <row r="34" spans="1:81" s="33" customFormat="1" ht="24" customHeight="1">
      <c r="A34" s="429" t="s">
        <v>88</v>
      </c>
      <c r="B34" s="463" t="s">
        <v>204</v>
      </c>
      <c r="C34" s="516" t="s">
        <v>139</v>
      </c>
      <c r="D34" s="102">
        <v>20340</v>
      </c>
      <c r="E34" s="29">
        <v>2.63</v>
      </c>
      <c r="F34" s="17">
        <f aca="true" t="shared" si="5" ref="F34:F54">H34-G34</f>
        <v>45334.07</v>
      </c>
      <c r="G34" s="21">
        <f aca="true" t="shared" si="6" ref="G34:G54">H34/6.5555555</f>
        <v>8160.13</v>
      </c>
      <c r="H34" s="118">
        <f aca="true" t="shared" si="7" ref="H34:H54">D34*E34</f>
        <v>53494.2</v>
      </c>
      <c r="I34" s="71">
        <f>D34*7.218</f>
        <v>146814.12</v>
      </c>
      <c r="J34" s="61">
        <f>I34-F34</f>
        <v>101480.05</v>
      </c>
      <c r="K34" s="27"/>
      <c r="L34" s="23">
        <f t="shared" si="4"/>
        <v>53494.2</v>
      </c>
      <c r="M34" s="23">
        <f t="shared" si="3"/>
        <v>0</v>
      </c>
      <c r="N34" s="25"/>
      <c r="O34" s="28"/>
      <c r="P34" s="32"/>
      <c r="Q34" s="99"/>
      <c r="R34" s="100"/>
      <c r="S34" s="460"/>
      <c r="T34" s="460"/>
      <c r="U34" s="460"/>
      <c r="V34" s="460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</row>
    <row r="35" spans="1:22" s="32" customFormat="1" ht="24" customHeight="1">
      <c r="A35" s="431"/>
      <c r="B35" s="515"/>
      <c r="C35" s="517"/>
      <c r="D35" s="102">
        <v>10278</v>
      </c>
      <c r="E35" s="29">
        <v>1.31</v>
      </c>
      <c r="F35" s="17">
        <f t="shared" si="5"/>
        <v>11410.32</v>
      </c>
      <c r="G35" s="21">
        <f t="shared" si="6"/>
        <v>2053.86</v>
      </c>
      <c r="H35" s="118">
        <f t="shared" si="7"/>
        <v>13464.18</v>
      </c>
      <c r="I35" s="71">
        <f>D35*4.338</f>
        <v>44585.96</v>
      </c>
      <c r="J35" s="61">
        <f>I35-F35</f>
        <v>33175.64</v>
      </c>
      <c r="K35" s="27">
        <f>J34+J35</f>
        <v>134655.69</v>
      </c>
      <c r="L35" s="23">
        <f t="shared" si="4"/>
        <v>13464.18</v>
      </c>
      <c r="M35" s="23">
        <f t="shared" si="3"/>
        <v>0</v>
      </c>
      <c r="N35" s="25"/>
      <c r="O35" s="28"/>
      <c r="Q35" s="99"/>
      <c r="R35" s="101"/>
      <c r="S35" s="460"/>
      <c r="T35" s="460"/>
      <c r="U35" s="460"/>
      <c r="V35" s="460"/>
    </row>
    <row r="36" spans="1:22" ht="13.5" customHeight="1">
      <c r="A36" s="265" t="s">
        <v>144</v>
      </c>
      <c r="B36" s="90" t="s">
        <v>48</v>
      </c>
      <c r="C36" s="511" t="s">
        <v>131</v>
      </c>
      <c r="D36" s="102">
        <f>49597</f>
        <v>49597</v>
      </c>
      <c r="E36" s="91">
        <v>2.63</v>
      </c>
      <c r="F36" s="17">
        <f t="shared" si="5"/>
        <v>110542.47</v>
      </c>
      <c r="G36" s="21">
        <f t="shared" si="6"/>
        <v>19897.64</v>
      </c>
      <c r="H36" s="118">
        <f t="shared" si="7"/>
        <v>130440.11</v>
      </c>
      <c r="I36" s="71">
        <f>D36*7.218</f>
        <v>357991.15</v>
      </c>
      <c r="J36" s="22">
        <f t="shared" si="2"/>
        <v>247448.68</v>
      </c>
      <c r="K36" s="26"/>
      <c r="L36" s="23">
        <f t="shared" si="4"/>
        <v>130440.11</v>
      </c>
      <c r="M36" s="23">
        <f t="shared" si="3"/>
        <v>0</v>
      </c>
      <c r="N36" s="25"/>
      <c r="O36" s="26"/>
      <c r="P36" s="5"/>
      <c r="Q36" s="99"/>
      <c r="R36" s="100"/>
      <c r="S36" s="460"/>
      <c r="T36" s="460"/>
      <c r="U36" s="460"/>
      <c r="V36" s="460"/>
    </row>
    <row r="37" spans="1:22" ht="14.25" customHeight="1">
      <c r="A37" s="265" t="s">
        <v>145</v>
      </c>
      <c r="B37" s="92" t="s">
        <v>48</v>
      </c>
      <c r="C37" s="512"/>
      <c r="D37" s="102">
        <f>34581</f>
        <v>34581</v>
      </c>
      <c r="E37" s="91">
        <v>1.84</v>
      </c>
      <c r="F37" s="17">
        <f t="shared" si="5"/>
        <v>53922.92</v>
      </c>
      <c r="G37" s="21">
        <f t="shared" si="6"/>
        <v>9706.12</v>
      </c>
      <c r="H37" s="118">
        <f t="shared" si="7"/>
        <v>63629.04</v>
      </c>
      <c r="I37" s="71">
        <f>D37*7.218</f>
        <v>249605.66</v>
      </c>
      <c r="J37" s="22">
        <f t="shared" si="2"/>
        <v>195682.74</v>
      </c>
      <c r="K37" s="35"/>
      <c r="L37" s="23">
        <f t="shared" si="4"/>
        <v>63629.04</v>
      </c>
      <c r="M37" s="23">
        <f t="shared" si="3"/>
        <v>0</v>
      </c>
      <c r="N37" s="25"/>
      <c r="O37" s="26"/>
      <c r="P37" s="5"/>
      <c r="Q37" s="99"/>
      <c r="R37" s="100"/>
      <c r="S37" s="460"/>
      <c r="T37" s="460"/>
      <c r="U37" s="460"/>
      <c r="V37" s="460"/>
    </row>
    <row r="38" spans="1:22" ht="24" customHeight="1">
      <c r="A38" s="265" t="s">
        <v>146</v>
      </c>
      <c r="B38" s="93" t="s">
        <v>49</v>
      </c>
      <c r="C38" s="512"/>
      <c r="D38" s="102">
        <f>37600</f>
        <v>37600</v>
      </c>
      <c r="E38" s="94">
        <v>1.31</v>
      </c>
      <c r="F38" s="17">
        <f t="shared" si="5"/>
        <v>41742.37</v>
      </c>
      <c r="G38" s="21">
        <f t="shared" si="6"/>
        <v>7513.63</v>
      </c>
      <c r="H38" s="118">
        <f t="shared" si="7"/>
        <v>49256</v>
      </c>
      <c r="I38" s="71">
        <f>D38*4.338</f>
        <v>163108.8</v>
      </c>
      <c r="J38" s="22">
        <f t="shared" si="2"/>
        <v>121366.43</v>
      </c>
      <c r="K38" s="26"/>
      <c r="L38" s="23">
        <f t="shared" si="4"/>
        <v>49256</v>
      </c>
      <c r="M38" s="23">
        <f t="shared" si="3"/>
        <v>0</v>
      </c>
      <c r="N38" s="25"/>
      <c r="O38" s="26"/>
      <c r="P38" s="5"/>
      <c r="Q38" s="99"/>
      <c r="R38" s="101"/>
      <c r="S38" s="5"/>
      <c r="T38" s="5"/>
      <c r="U38" s="43"/>
      <c r="V38" s="5"/>
    </row>
    <row r="39" spans="1:22" ht="24.75" customHeight="1">
      <c r="A39" s="265" t="s">
        <v>147</v>
      </c>
      <c r="B39" s="93" t="s">
        <v>49</v>
      </c>
      <c r="C39" s="513"/>
      <c r="D39" s="102">
        <f>10935</f>
        <v>10935</v>
      </c>
      <c r="E39" s="95">
        <v>0.92</v>
      </c>
      <c r="F39" s="17">
        <f t="shared" si="5"/>
        <v>8525.59</v>
      </c>
      <c r="G39" s="21">
        <f t="shared" si="6"/>
        <v>1534.61</v>
      </c>
      <c r="H39" s="118">
        <f t="shared" si="7"/>
        <v>10060.2</v>
      </c>
      <c r="I39" s="71">
        <f>D39*4.338</f>
        <v>47436.03</v>
      </c>
      <c r="J39" s="22">
        <f t="shared" si="2"/>
        <v>38910.44</v>
      </c>
      <c r="K39" s="26"/>
      <c r="L39" s="23">
        <f t="shared" si="4"/>
        <v>10060.2</v>
      </c>
      <c r="M39" s="23">
        <f t="shared" si="3"/>
        <v>0</v>
      </c>
      <c r="N39" s="25"/>
      <c r="O39" s="26"/>
      <c r="P39" s="5"/>
      <c r="Q39" s="99"/>
      <c r="R39" s="100"/>
      <c r="S39" s="5"/>
      <c r="T39" s="5"/>
      <c r="U39" s="5"/>
      <c r="V39" s="5"/>
    </row>
    <row r="40" spans="1:22" ht="12" customHeight="1">
      <c r="A40" s="265" t="s">
        <v>148</v>
      </c>
      <c r="B40" s="93" t="s">
        <v>78</v>
      </c>
      <c r="C40" s="511" t="s">
        <v>130</v>
      </c>
      <c r="D40" s="102">
        <v>4598</v>
      </c>
      <c r="E40" s="96">
        <v>2.58</v>
      </c>
      <c r="F40" s="17">
        <f t="shared" si="5"/>
        <v>10053.25</v>
      </c>
      <c r="G40" s="21">
        <f t="shared" si="6"/>
        <v>1809.59</v>
      </c>
      <c r="H40" s="118">
        <f t="shared" si="7"/>
        <v>11862.84</v>
      </c>
      <c r="I40" s="71">
        <f>D40*6.383</f>
        <v>29349.03</v>
      </c>
      <c r="J40" s="22">
        <f t="shared" si="2"/>
        <v>19295.78</v>
      </c>
      <c r="K40" s="461"/>
      <c r="L40" s="23">
        <f t="shared" si="4"/>
        <v>11862.84</v>
      </c>
      <c r="M40" s="23">
        <f t="shared" si="3"/>
        <v>0</v>
      </c>
      <c r="N40" s="25"/>
      <c r="O40" s="26"/>
      <c r="P40" s="5"/>
      <c r="Q40" s="99"/>
      <c r="R40" s="100"/>
      <c r="S40" s="5"/>
      <c r="T40" s="5"/>
      <c r="U40" s="5"/>
      <c r="V40" s="5"/>
    </row>
    <row r="41" spans="1:22" ht="15" customHeight="1">
      <c r="A41" s="265" t="s">
        <v>149</v>
      </c>
      <c r="B41" s="93" t="s">
        <v>73</v>
      </c>
      <c r="C41" s="512"/>
      <c r="D41" s="102">
        <f>379</f>
        <v>379</v>
      </c>
      <c r="E41" s="97">
        <v>1.84</v>
      </c>
      <c r="F41" s="17">
        <f t="shared" si="5"/>
        <v>590.98</v>
      </c>
      <c r="G41" s="21">
        <f t="shared" si="6"/>
        <v>106.38</v>
      </c>
      <c r="H41" s="118">
        <f t="shared" si="7"/>
        <v>697.36</v>
      </c>
      <c r="I41" s="71">
        <f>D41*7.218</f>
        <v>2735.62</v>
      </c>
      <c r="J41" s="22">
        <f t="shared" si="2"/>
        <v>2144.64</v>
      </c>
      <c r="K41" s="461"/>
      <c r="L41" s="23">
        <f t="shared" si="4"/>
        <v>697.36</v>
      </c>
      <c r="M41" s="23">
        <f t="shared" si="3"/>
        <v>0</v>
      </c>
      <c r="N41" s="25"/>
      <c r="O41" s="26"/>
      <c r="P41" s="170"/>
      <c r="Q41" s="99"/>
      <c r="R41" s="100"/>
      <c r="S41" s="89"/>
      <c r="T41" s="89"/>
      <c r="U41" s="5"/>
      <c r="V41" s="5"/>
    </row>
    <row r="42" spans="1:22" ht="15" customHeight="1">
      <c r="A42" s="265" t="s">
        <v>150</v>
      </c>
      <c r="B42" s="93" t="s">
        <v>72</v>
      </c>
      <c r="C42" s="513"/>
      <c r="D42" s="102">
        <f>225</f>
        <v>225</v>
      </c>
      <c r="E42" s="97">
        <v>0.92</v>
      </c>
      <c r="F42" s="17">
        <f t="shared" si="5"/>
        <v>175.42</v>
      </c>
      <c r="G42" s="21">
        <f t="shared" si="6"/>
        <v>31.58</v>
      </c>
      <c r="H42" s="118">
        <f t="shared" si="7"/>
        <v>207</v>
      </c>
      <c r="I42" s="71">
        <f>D42*4.338</f>
        <v>976.05</v>
      </c>
      <c r="J42" s="22">
        <f t="shared" si="2"/>
        <v>800.63</v>
      </c>
      <c r="K42" s="37">
        <f>SUM(J36:J42)</f>
        <v>625649.34</v>
      </c>
      <c r="L42" s="23">
        <f t="shared" si="4"/>
        <v>207</v>
      </c>
      <c r="M42" s="23">
        <f t="shared" si="3"/>
        <v>0</v>
      </c>
      <c r="N42" s="25"/>
      <c r="O42" s="26"/>
      <c r="P42" s="170"/>
      <c r="Q42" s="99"/>
      <c r="R42" s="100"/>
      <c r="S42" s="89"/>
      <c r="T42" s="89"/>
      <c r="U42" s="5"/>
      <c r="V42" s="5"/>
    </row>
    <row r="43" spans="1:22" s="40" customFormat="1" ht="12" customHeight="1">
      <c r="A43" s="265" t="s">
        <v>151</v>
      </c>
      <c r="B43" s="38" t="s">
        <v>47</v>
      </c>
      <c r="C43" s="448" t="s">
        <v>135</v>
      </c>
      <c r="D43" s="102">
        <f>4485+34</f>
        <v>4519</v>
      </c>
      <c r="E43" s="2">
        <v>1.31</v>
      </c>
      <c r="F43" s="17">
        <f t="shared" si="5"/>
        <v>5016.86</v>
      </c>
      <c r="G43" s="21">
        <f t="shared" si="6"/>
        <v>903.03</v>
      </c>
      <c r="H43" s="118">
        <f t="shared" si="7"/>
        <v>5919.89</v>
      </c>
      <c r="I43" s="71">
        <f>D43*4.338</f>
        <v>19603.42</v>
      </c>
      <c r="J43" s="22">
        <f t="shared" si="2"/>
        <v>14586.56</v>
      </c>
      <c r="K43" s="39"/>
      <c r="L43" s="23">
        <f t="shared" si="4"/>
        <v>5919.89</v>
      </c>
      <c r="M43" s="23">
        <f t="shared" si="3"/>
        <v>0</v>
      </c>
      <c r="N43" s="25"/>
      <c r="O43" s="39"/>
      <c r="P43" s="39"/>
      <c r="Q43" s="99"/>
      <c r="R43" s="100"/>
      <c r="S43" s="39"/>
      <c r="T43" s="39"/>
      <c r="U43" s="39"/>
      <c r="V43" s="39"/>
    </row>
    <row r="44" spans="1:22" s="40" customFormat="1" ht="12" customHeight="1">
      <c r="A44" s="265" t="s">
        <v>152</v>
      </c>
      <c r="B44" s="36" t="s">
        <v>46</v>
      </c>
      <c r="C44" s="449"/>
      <c r="D44" s="102">
        <f>14286+105</f>
        <v>14391</v>
      </c>
      <c r="E44" s="2">
        <v>2.63</v>
      </c>
      <c r="F44" s="17">
        <f t="shared" si="5"/>
        <v>32074.86</v>
      </c>
      <c r="G44" s="21">
        <f t="shared" si="6"/>
        <v>5773.47</v>
      </c>
      <c r="H44" s="118">
        <f t="shared" si="7"/>
        <v>37848.33</v>
      </c>
      <c r="I44" s="71">
        <f>D44*7.218</f>
        <v>103874.24</v>
      </c>
      <c r="J44" s="22">
        <f t="shared" si="2"/>
        <v>71799.38</v>
      </c>
      <c r="K44" s="39"/>
      <c r="L44" s="23">
        <f t="shared" si="4"/>
        <v>37848.33</v>
      </c>
      <c r="M44" s="23">
        <f t="shared" si="3"/>
        <v>0</v>
      </c>
      <c r="N44" s="25"/>
      <c r="O44" s="39"/>
      <c r="P44" s="39"/>
      <c r="Q44" s="99"/>
      <c r="R44" s="100"/>
      <c r="S44" s="39"/>
      <c r="T44" s="39"/>
      <c r="U44" s="39"/>
      <c r="V44" s="39"/>
    </row>
    <row r="45" spans="1:22" s="40" customFormat="1" ht="12" customHeight="1">
      <c r="A45" s="265" t="s">
        <v>153</v>
      </c>
      <c r="B45" s="36" t="s">
        <v>46</v>
      </c>
      <c r="C45" s="449"/>
      <c r="D45" s="102">
        <f>3727+2915</f>
        <v>6642</v>
      </c>
      <c r="E45" s="2">
        <v>2.58</v>
      </c>
      <c r="F45" s="17">
        <f t="shared" si="5"/>
        <v>14522.33</v>
      </c>
      <c r="G45" s="21">
        <f>H45/6.5555555+0.01</f>
        <v>2614.03</v>
      </c>
      <c r="H45" s="118">
        <f t="shared" si="7"/>
        <v>17136.36</v>
      </c>
      <c r="I45" s="71">
        <f>D45*6.383</f>
        <v>42395.89</v>
      </c>
      <c r="J45" s="22">
        <f t="shared" si="2"/>
        <v>27873.56</v>
      </c>
      <c r="K45" s="39"/>
      <c r="L45" s="23">
        <f t="shared" si="4"/>
        <v>17136.36</v>
      </c>
      <c r="M45" s="23">
        <f t="shared" si="3"/>
        <v>0</v>
      </c>
      <c r="N45" s="25"/>
      <c r="O45" s="39"/>
      <c r="P45" s="39"/>
      <c r="Q45" s="99"/>
      <c r="R45" s="100"/>
      <c r="S45" s="39"/>
      <c r="T45" s="39"/>
      <c r="U45" s="39"/>
      <c r="V45" s="39"/>
    </row>
    <row r="46" spans="1:22" s="40" customFormat="1" ht="12" customHeight="1">
      <c r="A46" s="265" t="s">
        <v>154</v>
      </c>
      <c r="B46" s="36" t="s">
        <v>46</v>
      </c>
      <c r="C46" s="449"/>
      <c r="D46" s="102">
        <f>16267</f>
        <v>16267</v>
      </c>
      <c r="E46" s="2">
        <v>1.84</v>
      </c>
      <c r="F46" s="17">
        <f t="shared" si="5"/>
        <v>25365.49</v>
      </c>
      <c r="G46" s="21">
        <f t="shared" si="6"/>
        <v>4565.79</v>
      </c>
      <c r="H46" s="118">
        <f t="shared" si="7"/>
        <v>29931.28</v>
      </c>
      <c r="I46" s="71">
        <f>D46*7.218</f>
        <v>117415.21</v>
      </c>
      <c r="J46" s="22">
        <f t="shared" si="2"/>
        <v>92049.72</v>
      </c>
      <c r="K46" s="41"/>
      <c r="L46" s="23">
        <f t="shared" si="4"/>
        <v>29931.28</v>
      </c>
      <c r="M46" s="23">
        <f t="shared" si="3"/>
        <v>0</v>
      </c>
      <c r="N46" s="25"/>
      <c r="O46" s="39"/>
      <c r="P46" s="39"/>
      <c r="Q46" s="99"/>
      <c r="R46" s="100"/>
      <c r="S46" s="39"/>
      <c r="T46" s="39"/>
      <c r="U46" s="39"/>
      <c r="V46" s="39"/>
    </row>
    <row r="47" spans="1:22" s="40" customFormat="1" ht="12" customHeight="1">
      <c r="A47" s="265" t="s">
        <v>155</v>
      </c>
      <c r="B47" s="38" t="s">
        <v>47</v>
      </c>
      <c r="C47" s="449"/>
      <c r="D47" s="102">
        <f>4633</f>
        <v>4633</v>
      </c>
      <c r="E47" s="2">
        <v>0.92</v>
      </c>
      <c r="F47" s="17">
        <f t="shared" si="5"/>
        <v>3612.17</v>
      </c>
      <c r="G47" s="21">
        <f t="shared" si="6"/>
        <v>650.19</v>
      </c>
      <c r="H47" s="118">
        <f t="shared" si="7"/>
        <v>4262.36</v>
      </c>
      <c r="I47" s="71">
        <f>D47*4.338</f>
        <v>20097.95</v>
      </c>
      <c r="J47" s="22">
        <f t="shared" si="2"/>
        <v>16485.78</v>
      </c>
      <c r="K47" s="41"/>
      <c r="L47" s="23">
        <f t="shared" si="4"/>
        <v>4262.36</v>
      </c>
      <c r="M47" s="23">
        <f t="shared" si="3"/>
        <v>0</v>
      </c>
      <c r="N47" s="25"/>
      <c r="O47" s="39"/>
      <c r="P47" s="39"/>
      <c r="Q47" s="99"/>
      <c r="R47" s="100"/>
      <c r="S47" s="39"/>
      <c r="T47" s="39"/>
      <c r="U47" s="39"/>
      <c r="V47" s="39"/>
    </row>
    <row r="48" spans="1:22" s="40" customFormat="1" ht="12" customHeight="1">
      <c r="A48" s="265" t="s">
        <v>98</v>
      </c>
      <c r="B48" s="36" t="s">
        <v>46</v>
      </c>
      <c r="C48" s="450"/>
      <c r="D48" s="102">
        <v>0</v>
      </c>
      <c r="E48" s="2">
        <v>1.81</v>
      </c>
      <c r="F48" s="17">
        <f t="shared" si="5"/>
        <v>0</v>
      </c>
      <c r="G48" s="21">
        <f t="shared" si="6"/>
        <v>0</v>
      </c>
      <c r="H48" s="118">
        <f t="shared" si="7"/>
        <v>0</v>
      </c>
      <c r="I48" s="71">
        <f>D48*6.383</f>
        <v>0</v>
      </c>
      <c r="J48" s="22">
        <f t="shared" si="2"/>
        <v>0</v>
      </c>
      <c r="K48" s="41"/>
      <c r="L48" s="23">
        <f t="shared" si="4"/>
        <v>0</v>
      </c>
      <c r="M48" s="23">
        <f t="shared" si="3"/>
        <v>0</v>
      </c>
      <c r="N48" s="25"/>
      <c r="O48" s="39"/>
      <c r="P48" s="39"/>
      <c r="Q48" s="99"/>
      <c r="R48" s="100"/>
      <c r="S48" s="39"/>
      <c r="T48" s="39"/>
      <c r="U48" s="39"/>
      <c r="V48" s="39"/>
    </row>
    <row r="49" spans="1:22" s="40" customFormat="1" ht="12" customHeight="1">
      <c r="A49" s="265" t="s">
        <v>99</v>
      </c>
      <c r="B49" s="36" t="s">
        <v>79</v>
      </c>
      <c r="C49" s="448" t="s">
        <v>134</v>
      </c>
      <c r="D49" s="102">
        <f>277</f>
        <v>277</v>
      </c>
      <c r="E49" s="2">
        <v>2.58</v>
      </c>
      <c r="F49" s="17">
        <f t="shared" si="5"/>
        <v>605.64</v>
      </c>
      <c r="G49" s="21">
        <f t="shared" si="6"/>
        <v>109.02</v>
      </c>
      <c r="H49" s="118">
        <f t="shared" si="7"/>
        <v>714.66</v>
      </c>
      <c r="I49" s="71">
        <f>D49*6.383</f>
        <v>1768.09</v>
      </c>
      <c r="J49" s="22">
        <f t="shared" si="2"/>
        <v>1162.45</v>
      </c>
      <c r="K49" s="27"/>
      <c r="L49" s="23">
        <f t="shared" si="4"/>
        <v>714.66</v>
      </c>
      <c r="M49" s="23">
        <f t="shared" si="3"/>
        <v>0</v>
      </c>
      <c r="N49" s="25"/>
      <c r="O49" s="39"/>
      <c r="P49" s="39"/>
      <c r="Q49" s="99"/>
      <c r="R49" s="100"/>
      <c r="S49" s="39"/>
      <c r="T49" s="39"/>
      <c r="U49" s="39"/>
      <c r="V49" s="39"/>
    </row>
    <row r="50" spans="1:22" s="40" customFormat="1" ht="12" customHeight="1">
      <c r="A50" s="265" t="s">
        <v>90</v>
      </c>
      <c r="B50" s="36" t="s">
        <v>51</v>
      </c>
      <c r="C50" s="449"/>
      <c r="D50" s="102">
        <f>34</f>
        <v>34</v>
      </c>
      <c r="E50" s="2">
        <v>2.63</v>
      </c>
      <c r="F50" s="17">
        <f t="shared" si="5"/>
        <v>75.78</v>
      </c>
      <c r="G50" s="21">
        <f t="shared" si="6"/>
        <v>13.64</v>
      </c>
      <c r="H50" s="118">
        <f t="shared" si="7"/>
        <v>89.42</v>
      </c>
      <c r="I50" s="71">
        <f>D50*7.218</f>
        <v>245.41</v>
      </c>
      <c r="J50" s="22">
        <f t="shared" si="2"/>
        <v>169.63</v>
      </c>
      <c r="K50" s="27"/>
      <c r="L50" s="23">
        <f t="shared" si="4"/>
        <v>89.42</v>
      </c>
      <c r="M50" s="23">
        <f t="shared" si="3"/>
        <v>0</v>
      </c>
      <c r="N50" s="25"/>
      <c r="O50" s="39"/>
      <c r="P50" s="39"/>
      <c r="Q50" s="99"/>
      <c r="R50" s="100"/>
      <c r="S50" s="39"/>
      <c r="T50" s="39"/>
      <c r="U50" s="39"/>
      <c r="V50" s="39"/>
    </row>
    <row r="51" spans="1:22" s="40" customFormat="1" ht="12" customHeight="1">
      <c r="A51" s="265" t="s">
        <v>100</v>
      </c>
      <c r="B51" s="36" t="s">
        <v>74</v>
      </c>
      <c r="C51" s="449"/>
      <c r="D51" s="102">
        <f>19</f>
        <v>19</v>
      </c>
      <c r="E51" s="2">
        <v>1.31</v>
      </c>
      <c r="F51" s="17">
        <f t="shared" si="5"/>
        <v>21.09</v>
      </c>
      <c r="G51" s="21">
        <f t="shared" si="6"/>
        <v>3.8</v>
      </c>
      <c r="H51" s="118">
        <f t="shared" si="7"/>
        <v>24.89</v>
      </c>
      <c r="I51" s="71">
        <f>D51*4.338</f>
        <v>82.42</v>
      </c>
      <c r="J51" s="22">
        <f t="shared" si="2"/>
        <v>61.33</v>
      </c>
      <c r="K51" s="27"/>
      <c r="L51" s="23">
        <f t="shared" si="4"/>
        <v>24.89</v>
      </c>
      <c r="M51" s="23">
        <f t="shared" si="3"/>
        <v>0</v>
      </c>
      <c r="N51" s="25"/>
      <c r="O51" s="39"/>
      <c r="P51" s="39"/>
      <c r="Q51" s="99"/>
      <c r="R51" s="101"/>
      <c r="S51" s="39"/>
      <c r="T51" s="39"/>
      <c r="U51" s="39"/>
      <c r="V51" s="39"/>
    </row>
    <row r="52" spans="1:22" s="40" customFormat="1" ht="12" customHeight="1">
      <c r="A52" s="265" t="s">
        <v>101</v>
      </c>
      <c r="B52" s="36" t="s">
        <v>51</v>
      </c>
      <c r="C52" s="449"/>
      <c r="D52" s="102">
        <f>401</f>
        <v>401</v>
      </c>
      <c r="E52" s="2">
        <v>1.84</v>
      </c>
      <c r="F52" s="17">
        <f t="shared" si="5"/>
        <v>625.29</v>
      </c>
      <c r="G52" s="21">
        <f t="shared" si="6"/>
        <v>112.55</v>
      </c>
      <c r="H52" s="118">
        <f t="shared" si="7"/>
        <v>737.84</v>
      </c>
      <c r="I52" s="71">
        <f>D52*7.218</f>
        <v>2894.42</v>
      </c>
      <c r="J52" s="22">
        <f t="shared" si="2"/>
        <v>2269.13</v>
      </c>
      <c r="K52" s="27"/>
      <c r="L52" s="23">
        <f t="shared" si="4"/>
        <v>737.84</v>
      </c>
      <c r="M52" s="23">
        <f t="shared" si="3"/>
        <v>0</v>
      </c>
      <c r="N52" s="25"/>
      <c r="O52" s="39"/>
      <c r="P52" s="39"/>
      <c r="Q52" s="99"/>
      <c r="R52" s="101"/>
      <c r="S52" s="39"/>
      <c r="T52" s="39"/>
      <c r="U52" s="39"/>
      <c r="V52" s="39"/>
    </row>
    <row r="53" spans="1:22" s="40" customFormat="1" ht="12" customHeight="1">
      <c r="A53" s="265" t="s">
        <v>91</v>
      </c>
      <c r="B53" s="36" t="s">
        <v>79</v>
      </c>
      <c r="C53" s="449"/>
      <c r="D53" s="102">
        <v>0</v>
      </c>
      <c r="E53" s="2">
        <v>1.81</v>
      </c>
      <c r="F53" s="17">
        <f t="shared" si="5"/>
        <v>0</v>
      </c>
      <c r="G53" s="21">
        <f t="shared" si="6"/>
        <v>0</v>
      </c>
      <c r="H53" s="118">
        <f t="shared" si="7"/>
        <v>0</v>
      </c>
      <c r="I53" s="71">
        <f>D53*6.383</f>
        <v>0</v>
      </c>
      <c r="J53" s="22">
        <f aca="true" t="shared" si="8" ref="J53:J66">I53-F53</f>
        <v>0</v>
      </c>
      <c r="K53" s="27"/>
      <c r="L53" s="23">
        <f t="shared" si="4"/>
        <v>0</v>
      </c>
      <c r="M53" s="23">
        <f t="shared" si="3"/>
        <v>0</v>
      </c>
      <c r="N53" s="25"/>
      <c r="O53" s="39"/>
      <c r="P53" s="39"/>
      <c r="Q53" s="39"/>
      <c r="R53" s="39"/>
      <c r="S53" s="39"/>
      <c r="T53" s="39"/>
      <c r="U53" s="39"/>
      <c r="V53" s="39"/>
    </row>
    <row r="54" spans="1:16" s="40" customFormat="1" ht="12" customHeight="1">
      <c r="A54" s="265" t="s">
        <v>96</v>
      </c>
      <c r="B54" s="36" t="s">
        <v>79</v>
      </c>
      <c r="C54" s="450"/>
      <c r="D54" s="102">
        <f>207</f>
        <v>207</v>
      </c>
      <c r="E54" s="2">
        <v>0.92</v>
      </c>
      <c r="F54" s="17">
        <f t="shared" si="5"/>
        <v>161.39</v>
      </c>
      <c r="G54" s="21">
        <f t="shared" si="6"/>
        <v>29.05</v>
      </c>
      <c r="H54" s="118">
        <f t="shared" si="7"/>
        <v>190.44</v>
      </c>
      <c r="I54" s="71">
        <f>D54*4.338</f>
        <v>897.97</v>
      </c>
      <c r="J54" s="22">
        <f t="shared" si="8"/>
        <v>736.58</v>
      </c>
      <c r="K54" s="27">
        <f>SUM(J43:J54)</f>
        <v>227194.12</v>
      </c>
      <c r="L54" s="23">
        <f t="shared" si="4"/>
        <v>190.44</v>
      </c>
      <c r="M54" s="23">
        <f t="shared" si="3"/>
        <v>0</v>
      </c>
      <c r="N54" s="25"/>
      <c r="O54" s="39"/>
      <c r="P54" s="39"/>
    </row>
    <row r="55" spans="1:16" s="40" customFormat="1" ht="19.5" customHeight="1">
      <c r="A55" s="267" t="s">
        <v>156</v>
      </c>
      <c r="B55" s="36" t="s">
        <v>140</v>
      </c>
      <c r="C55" s="449" t="s">
        <v>209</v>
      </c>
      <c r="D55" s="102">
        <f>251056</f>
        <v>251056</v>
      </c>
      <c r="E55" s="2">
        <v>1.84</v>
      </c>
      <c r="F55" s="17">
        <f aca="true" t="shared" si="9" ref="F55:F60">H55-G55</f>
        <v>391477.15</v>
      </c>
      <c r="G55" s="21">
        <f aca="true" t="shared" si="10" ref="G55:G60">H55/6.5555555</f>
        <v>70465.89</v>
      </c>
      <c r="H55" s="118">
        <f aca="true" t="shared" si="11" ref="H55:H60">D55*E55</f>
        <v>461943.04</v>
      </c>
      <c r="I55" s="71">
        <f>D55*7.218</f>
        <v>1812122.21</v>
      </c>
      <c r="J55" s="22">
        <f t="shared" si="8"/>
        <v>1420645.06</v>
      </c>
      <c r="K55" s="27"/>
      <c r="L55" s="23">
        <f t="shared" si="4"/>
        <v>461943.04</v>
      </c>
      <c r="M55" s="23">
        <f t="shared" si="3"/>
        <v>0</v>
      </c>
      <c r="N55" s="25"/>
      <c r="O55" s="39"/>
      <c r="P55" s="39"/>
    </row>
    <row r="56" spans="1:16" s="40" customFormat="1" ht="17.25" customHeight="1">
      <c r="A56" s="267" t="s">
        <v>157</v>
      </c>
      <c r="B56" s="36" t="s">
        <v>140</v>
      </c>
      <c r="C56" s="450"/>
      <c r="D56" s="102">
        <f>69200</f>
        <v>69200</v>
      </c>
      <c r="E56" s="2">
        <v>0.92</v>
      </c>
      <c r="F56" s="17">
        <f t="shared" si="9"/>
        <v>53952.54</v>
      </c>
      <c r="G56" s="21">
        <f t="shared" si="10"/>
        <v>9711.46</v>
      </c>
      <c r="H56" s="118">
        <f t="shared" si="11"/>
        <v>63664</v>
      </c>
      <c r="I56" s="71">
        <f>D56*4.338</f>
        <v>300189.6</v>
      </c>
      <c r="J56" s="22">
        <f t="shared" si="8"/>
        <v>246237.06</v>
      </c>
      <c r="K56" s="27"/>
      <c r="L56" s="23">
        <f t="shared" si="4"/>
        <v>63664</v>
      </c>
      <c r="M56" s="23">
        <f t="shared" si="3"/>
        <v>0</v>
      </c>
      <c r="N56" s="25"/>
      <c r="O56" s="39"/>
      <c r="P56" s="39"/>
    </row>
    <row r="57" spans="1:16" ht="12" customHeight="1">
      <c r="A57" s="267" t="s">
        <v>158</v>
      </c>
      <c r="B57" s="38" t="s">
        <v>107</v>
      </c>
      <c r="C57" s="448" t="s">
        <v>127</v>
      </c>
      <c r="D57" s="102">
        <f>13125</f>
        <v>13125</v>
      </c>
      <c r="E57" s="2">
        <v>1.81</v>
      </c>
      <c r="F57" s="17">
        <f t="shared" si="9"/>
        <v>20132.42</v>
      </c>
      <c r="G57" s="21">
        <f t="shared" si="10"/>
        <v>3623.83</v>
      </c>
      <c r="H57" s="118">
        <f t="shared" si="11"/>
        <v>23756.25</v>
      </c>
      <c r="I57" s="71">
        <f>D57*6.383</f>
        <v>83776.88</v>
      </c>
      <c r="J57" s="22">
        <f t="shared" si="8"/>
        <v>63644.46</v>
      </c>
      <c r="K57" s="25"/>
      <c r="L57" s="23">
        <f t="shared" si="4"/>
        <v>23756.25</v>
      </c>
      <c r="M57" s="23">
        <f t="shared" si="3"/>
        <v>0</v>
      </c>
      <c r="N57" s="25"/>
      <c r="O57" s="26"/>
      <c r="P57" s="5"/>
    </row>
    <row r="58" spans="1:16" ht="12" customHeight="1">
      <c r="A58" s="267" t="s">
        <v>159</v>
      </c>
      <c r="B58" s="38" t="s">
        <v>107</v>
      </c>
      <c r="C58" s="449"/>
      <c r="D58" s="102">
        <f>3246</f>
        <v>3246</v>
      </c>
      <c r="E58" s="2">
        <v>2.58</v>
      </c>
      <c r="F58" s="17">
        <f t="shared" si="9"/>
        <v>7097.19</v>
      </c>
      <c r="G58" s="21">
        <f t="shared" si="10"/>
        <v>1277.49</v>
      </c>
      <c r="H58" s="118">
        <f t="shared" si="11"/>
        <v>8374.68</v>
      </c>
      <c r="I58" s="71">
        <f>D58*6.383</f>
        <v>20719.22</v>
      </c>
      <c r="J58" s="22">
        <f t="shared" si="8"/>
        <v>13622.03</v>
      </c>
      <c r="K58" s="42"/>
      <c r="L58" s="23">
        <f t="shared" si="4"/>
        <v>8374.68</v>
      </c>
      <c r="M58" s="23">
        <f t="shared" si="3"/>
        <v>0</v>
      </c>
      <c r="N58" s="25"/>
      <c r="O58" s="28"/>
      <c r="P58" s="43"/>
    </row>
    <row r="59" spans="1:16" ht="11.25" customHeight="1">
      <c r="A59" s="267" t="s">
        <v>160</v>
      </c>
      <c r="B59" s="38" t="s">
        <v>107</v>
      </c>
      <c r="C59" s="449"/>
      <c r="D59" s="102">
        <v>0</v>
      </c>
      <c r="E59" s="2">
        <v>1.84</v>
      </c>
      <c r="F59" s="17">
        <f t="shared" si="9"/>
        <v>0</v>
      </c>
      <c r="G59" s="21">
        <f t="shared" si="10"/>
        <v>0</v>
      </c>
      <c r="H59" s="118">
        <f t="shared" si="11"/>
        <v>0</v>
      </c>
      <c r="I59" s="71">
        <f>D59*7.218</f>
        <v>0</v>
      </c>
      <c r="J59" s="22">
        <f t="shared" si="8"/>
        <v>0</v>
      </c>
      <c r="K59" s="44"/>
      <c r="L59" s="23">
        <f t="shared" si="4"/>
        <v>0</v>
      </c>
      <c r="M59" s="23">
        <f t="shared" si="3"/>
        <v>0</v>
      </c>
      <c r="N59" s="25"/>
      <c r="O59" s="26"/>
      <c r="P59" s="5"/>
    </row>
    <row r="60" spans="1:16" ht="12.75" customHeight="1">
      <c r="A60" s="267" t="s">
        <v>161</v>
      </c>
      <c r="B60" s="34" t="s">
        <v>107</v>
      </c>
      <c r="C60" s="449"/>
      <c r="D60" s="102">
        <v>0</v>
      </c>
      <c r="E60" s="2">
        <v>0.92</v>
      </c>
      <c r="F60" s="17">
        <f t="shared" si="9"/>
        <v>0</v>
      </c>
      <c r="G60" s="21">
        <f t="shared" si="10"/>
        <v>0</v>
      </c>
      <c r="H60" s="118">
        <f t="shared" si="11"/>
        <v>0</v>
      </c>
      <c r="I60" s="71">
        <f>D60*4.338</f>
        <v>0</v>
      </c>
      <c r="J60" s="22">
        <f t="shared" si="8"/>
        <v>0</v>
      </c>
      <c r="K60" s="27">
        <f>SUM(J55:J60)</f>
        <v>1744148.61</v>
      </c>
      <c r="L60" s="23">
        <f t="shared" si="4"/>
        <v>0</v>
      </c>
      <c r="M60" s="23">
        <f t="shared" si="3"/>
        <v>0</v>
      </c>
      <c r="N60" s="25"/>
      <c r="O60" s="26"/>
      <c r="P60" s="5"/>
    </row>
    <row r="61" spans="1:16" s="48" customFormat="1" ht="24" customHeight="1">
      <c r="A61" s="457" t="s">
        <v>162</v>
      </c>
      <c r="B61" s="472" t="s">
        <v>141</v>
      </c>
      <c r="C61" s="445" t="s">
        <v>211</v>
      </c>
      <c r="D61" s="103">
        <v>12875</v>
      </c>
      <c r="E61" s="82">
        <v>2.58</v>
      </c>
      <c r="F61" s="85">
        <f aca="true" t="shared" si="12" ref="F61:F70">H61-G61</f>
        <v>28150.42</v>
      </c>
      <c r="G61" s="83">
        <f aca="true" t="shared" si="13" ref="G61:G67">H61/6.5555555</f>
        <v>5067.08</v>
      </c>
      <c r="H61" s="268">
        <f aca="true" t="shared" si="14" ref="H61:H67">D61*E61</f>
        <v>33217.5</v>
      </c>
      <c r="I61" s="252">
        <f>D61*6.383</f>
        <v>82181.13</v>
      </c>
      <c r="J61" s="31">
        <f t="shared" si="8"/>
        <v>54030.71</v>
      </c>
      <c r="K61" s="45"/>
      <c r="L61" s="46">
        <f t="shared" si="4"/>
        <v>33217.5</v>
      </c>
      <c r="M61" s="46">
        <f t="shared" si="3"/>
        <v>0</v>
      </c>
      <c r="N61" s="47"/>
      <c r="O61" s="45"/>
      <c r="P61" s="45"/>
    </row>
    <row r="62" spans="1:16" s="48" customFormat="1" ht="24" customHeight="1">
      <c r="A62" s="458"/>
      <c r="B62" s="473"/>
      <c r="C62" s="446"/>
      <c r="D62" s="103">
        <v>0</v>
      </c>
      <c r="E62" s="82">
        <v>2.63</v>
      </c>
      <c r="F62" s="85">
        <f t="shared" si="12"/>
        <v>0</v>
      </c>
      <c r="G62" s="83">
        <f t="shared" si="13"/>
        <v>0</v>
      </c>
      <c r="H62" s="268">
        <f t="shared" si="14"/>
        <v>0</v>
      </c>
      <c r="I62" s="252">
        <f>D62*7.218</f>
        <v>0</v>
      </c>
      <c r="J62" s="31">
        <f t="shared" si="8"/>
        <v>0</v>
      </c>
      <c r="K62" s="45"/>
      <c r="L62" s="46">
        <f t="shared" si="4"/>
        <v>0</v>
      </c>
      <c r="M62" s="46">
        <f t="shared" si="3"/>
        <v>0</v>
      </c>
      <c r="N62" s="47"/>
      <c r="O62" s="45"/>
      <c r="P62" s="45"/>
    </row>
    <row r="63" spans="1:16" s="48" customFormat="1" ht="24" customHeight="1">
      <c r="A63" s="459"/>
      <c r="B63" s="474"/>
      <c r="C63" s="447"/>
      <c r="D63" s="103">
        <v>0</v>
      </c>
      <c r="E63" s="82">
        <v>1.31</v>
      </c>
      <c r="F63" s="85">
        <f t="shared" si="12"/>
        <v>0</v>
      </c>
      <c r="G63" s="83">
        <f t="shared" si="13"/>
        <v>0</v>
      </c>
      <c r="H63" s="268">
        <f t="shared" si="14"/>
        <v>0</v>
      </c>
      <c r="I63" s="252">
        <f>D63*4.338</f>
        <v>0</v>
      </c>
      <c r="J63" s="31">
        <f t="shared" si="8"/>
        <v>0</v>
      </c>
      <c r="K63" s="84"/>
      <c r="L63" s="46">
        <f t="shared" si="4"/>
        <v>0</v>
      </c>
      <c r="M63" s="46">
        <f t="shared" si="3"/>
        <v>0</v>
      </c>
      <c r="N63" s="47"/>
      <c r="O63" s="45"/>
      <c r="P63" s="45"/>
    </row>
    <row r="64" spans="1:16" s="48" customFormat="1" ht="25.5" customHeight="1">
      <c r="A64" s="267" t="s">
        <v>163</v>
      </c>
      <c r="B64" s="239" t="s">
        <v>142</v>
      </c>
      <c r="C64" s="240" t="s">
        <v>208</v>
      </c>
      <c r="D64" s="103">
        <v>638</v>
      </c>
      <c r="E64" s="82">
        <v>2.58</v>
      </c>
      <c r="F64" s="85">
        <f t="shared" si="12"/>
        <v>1394.95</v>
      </c>
      <c r="G64" s="83">
        <f t="shared" si="13"/>
        <v>251.09</v>
      </c>
      <c r="H64" s="268">
        <f t="shared" si="14"/>
        <v>1646.04</v>
      </c>
      <c r="I64" s="252">
        <f>D64*6.383</f>
        <v>4072.35</v>
      </c>
      <c r="J64" s="31">
        <f t="shared" si="8"/>
        <v>2677.4</v>
      </c>
      <c r="K64" s="45"/>
      <c r="L64" s="46">
        <f t="shared" si="4"/>
        <v>1646.04</v>
      </c>
      <c r="M64" s="46">
        <f t="shared" si="3"/>
        <v>0</v>
      </c>
      <c r="N64" s="47"/>
      <c r="O64" s="45"/>
      <c r="P64" s="45"/>
    </row>
    <row r="65" spans="1:16" s="48" customFormat="1" ht="12" customHeight="1">
      <c r="A65" s="429" t="s">
        <v>164</v>
      </c>
      <c r="B65" s="455" t="s">
        <v>143</v>
      </c>
      <c r="C65" s="456" t="s">
        <v>210</v>
      </c>
      <c r="D65" s="103">
        <v>502</v>
      </c>
      <c r="E65" s="82">
        <v>2.63</v>
      </c>
      <c r="F65" s="85">
        <f t="shared" si="12"/>
        <v>1118.86</v>
      </c>
      <c r="G65" s="82">
        <f t="shared" si="13"/>
        <v>201.4</v>
      </c>
      <c r="H65" s="268">
        <f t="shared" si="14"/>
        <v>1320.26</v>
      </c>
      <c r="I65" s="253">
        <f>D65*7.218</f>
        <v>3623.44</v>
      </c>
      <c r="J65" s="31">
        <f t="shared" si="8"/>
        <v>2504.58</v>
      </c>
      <c r="K65" s="45"/>
      <c r="L65" s="46">
        <f t="shared" si="4"/>
        <v>1320.26</v>
      </c>
      <c r="M65" s="46">
        <f t="shared" si="3"/>
        <v>0</v>
      </c>
      <c r="N65" s="47"/>
      <c r="O65" s="45"/>
      <c r="P65" s="45"/>
    </row>
    <row r="66" spans="1:16" s="48" customFormat="1" ht="13.5" customHeight="1">
      <c r="A66" s="431"/>
      <c r="B66" s="455"/>
      <c r="C66" s="456"/>
      <c r="D66" s="103">
        <v>138</v>
      </c>
      <c r="E66" s="82">
        <v>1.31</v>
      </c>
      <c r="F66" s="85">
        <f t="shared" si="12"/>
        <v>153.2</v>
      </c>
      <c r="G66" s="82">
        <f t="shared" si="13"/>
        <v>27.58</v>
      </c>
      <c r="H66" s="268">
        <f t="shared" si="14"/>
        <v>180.78</v>
      </c>
      <c r="I66" s="253">
        <f>D66*4.338</f>
        <v>598.64</v>
      </c>
      <c r="J66" s="31">
        <f t="shared" si="8"/>
        <v>445.44</v>
      </c>
      <c r="K66" s="84">
        <f>J61+J64+J65+J66+J62+J63</f>
        <v>59658.13</v>
      </c>
      <c r="L66" s="46">
        <f t="shared" si="4"/>
        <v>180.78</v>
      </c>
      <c r="M66" s="46">
        <f t="shared" si="3"/>
        <v>0</v>
      </c>
      <c r="N66" s="47"/>
      <c r="O66" s="45"/>
      <c r="P66" s="45"/>
    </row>
    <row r="67" spans="1:16" s="56" customFormat="1" ht="11.25" customHeight="1">
      <c r="A67" s="267" t="s">
        <v>165</v>
      </c>
      <c r="B67" s="49" t="s">
        <v>113</v>
      </c>
      <c r="C67" s="516" t="s">
        <v>136</v>
      </c>
      <c r="D67" s="102">
        <v>8545</v>
      </c>
      <c r="E67" s="2">
        <v>1.81</v>
      </c>
      <c r="F67" s="17">
        <f t="shared" si="12"/>
        <v>13107.16</v>
      </c>
      <c r="G67" s="21">
        <f t="shared" si="13"/>
        <v>2359.29</v>
      </c>
      <c r="H67" s="118">
        <f t="shared" si="14"/>
        <v>15466.45</v>
      </c>
      <c r="I67" s="254">
        <f>D67*6.383</f>
        <v>54542.74</v>
      </c>
      <c r="J67" s="50">
        <f aca="true" t="shared" si="15" ref="J67:J77">I67-F67</f>
        <v>41435.58</v>
      </c>
      <c r="K67" s="51"/>
      <c r="L67" s="52">
        <f t="shared" si="4"/>
        <v>15466.45</v>
      </c>
      <c r="M67" s="52">
        <f t="shared" si="3"/>
        <v>0</v>
      </c>
      <c r="N67" s="53"/>
      <c r="O67" s="54"/>
      <c r="P67" s="55"/>
    </row>
    <row r="68" spans="1:16" s="56" customFormat="1" ht="12" customHeight="1">
      <c r="A68" s="267" t="s">
        <v>166</v>
      </c>
      <c r="B68" s="49" t="s">
        <v>114</v>
      </c>
      <c r="C68" s="520"/>
      <c r="D68" s="102">
        <v>5293</v>
      </c>
      <c r="E68" s="2">
        <v>1.84</v>
      </c>
      <c r="F68" s="17">
        <f t="shared" si="12"/>
        <v>8253.49</v>
      </c>
      <c r="G68" s="21">
        <f>H68/6.5555555</f>
        <v>1485.63</v>
      </c>
      <c r="H68" s="118">
        <f>D68*E68</f>
        <v>9739.12</v>
      </c>
      <c r="I68" s="254">
        <f>D68*7.218</f>
        <v>38204.87</v>
      </c>
      <c r="J68" s="50">
        <f t="shared" si="15"/>
        <v>29951.38</v>
      </c>
      <c r="K68" s="51"/>
      <c r="L68" s="52">
        <f t="shared" si="4"/>
        <v>9739.12</v>
      </c>
      <c r="M68" s="52">
        <f t="shared" si="3"/>
        <v>0</v>
      </c>
      <c r="N68" s="53"/>
      <c r="O68" s="54"/>
      <c r="P68" s="55"/>
    </row>
    <row r="69" spans="1:16" s="56" customFormat="1" ht="15" customHeight="1">
      <c r="A69" s="267" t="s">
        <v>167</v>
      </c>
      <c r="B69" s="49" t="s">
        <v>115</v>
      </c>
      <c r="C69" s="517"/>
      <c r="D69" s="102">
        <v>1296</v>
      </c>
      <c r="E69" s="2">
        <v>0.92</v>
      </c>
      <c r="F69" s="17">
        <f t="shared" si="12"/>
        <v>1010.44</v>
      </c>
      <c r="G69" s="21">
        <f>H69/6.5555555</f>
        <v>181.88</v>
      </c>
      <c r="H69" s="118">
        <f>D69*E69</f>
        <v>1192.32</v>
      </c>
      <c r="I69" s="254">
        <f>D69*4.338</f>
        <v>5622.05</v>
      </c>
      <c r="J69" s="50">
        <f t="shared" si="15"/>
        <v>4611.61</v>
      </c>
      <c r="K69" s="57">
        <f>SUM(J67:J69)</f>
        <v>75998.57</v>
      </c>
      <c r="L69" s="52">
        <f t="shared" si="4"/>
        <v>1192.32</v>
      </c>
      <c r="M69" s="52">
        <f t="shared" si="3"/>
        <v>0</v>
      </c>
      <c r="N69" s="53"/>
      <c r="O69" s="54"/>
      <c r="P69" s="55"/>
    </row>
    <row r="70" spans="1:16" ht="11.25" customHeight="1">
      <c r="A70" s="267" t="s">
        <v>168</v>
      </c>
      <c r="B70" s="49" t="s">
        <v>76</v>
      </c>
      <c r="C70" s="424" t="s">
        <v>133</v>
      </c>
      <c r="D70" s="102">
        <v>4470.586</v>
      </c>
      <c r="E70" s="2">
        <v>2.63</v>
      </c>
      <c r="F70" s="17">
        <f t="shared" si="12"/>
        <v>9964.1</v>
      </c>
      <c r="G70" s="21">
        <f>H70/6.5555555</f>
        <v>1793.54</v>
      </c>
      <c r="H70" s="118">
        <f>D70*E70</f>
        <v>11757.64</v>
      </c>
      <c r="I70" s="71">
        <f>D70*7.218</f>
        <v>32268.69</v>
      </c>
      <c r="J70" s="22">
        <f t="shared" si="15"/>
        <v>22304.59</v>
      </c>
      <c r="K70" s="24"/>
      <c r="L70" s="23">
        <f aca="true" t="shared" si="16" ref="L70:L93">D70*E70</f>
        <v>11757.64</v>
      </c>
      <c r="M70" s="23">
        <f aca="true" t="shared" si="17" ref="M70:M93">L70-H70</f>
        <v>0</v>
      </c>
      <c r="N70" s="25"/>
      <c r="O70" s="26"/>
      <c r="P70" s="5"/>
    </row>
    <row r="71" spans="1:16" ht="12" customHeight="1">
      <c r="A71" s="267" t="s">
        <v>169</v>
      </c>
      <c r="B71" s="49" t="s">
        <v>80</v>
      </c>
      <c r="C71" s="426"/>
      <c r="D71" s="102">
        <v>14015.224</v>
      </c>
      <c r="E71" s="2">
        <v>2.58</v>
      </c>
      <c r="F71" s="17">
        <f aca="true" t="shared" si="18" ref="F71:F79">H71-G71</f>
        <v>30643.46</v>
      </c>
      <c r="G71" s="21">
        <f aca="true" t="shared" si="19" ref="G71:G79">H71/6.5555555</f>
        <v>5515.82</v>
      </c>
      <c r="H71" s="118">
        <f aca="true" t="shared" si="20" ref="H71:H79">D71*E71</f>
        <v>36159.28</v>
      </c>
      <c r="I71" s="71">
        <f>D71*6.383</f>
        <v>89459.17</v>
      </c>
      <c r="J71" s="22">
        <f>I71-F71</f>
        <v>58815.71</v>
      </c>
      <c r="K71" s="24"/>
      <c r="L71" s="23">
        <f t="shared" si="16"/>
        <v>36159.28</v>
      </c>
      <c r="M71" s="23">
        <f t="shared" si="17"/>
        <v>0</v>
      </c>
      <c r="N71" s="25"/>
      <c r="O71" s="26"/>
      <c r="P71" s="5"/>
    </row>
    <row r="72" spans="1:16" ht="12" customHeight="1">
      <c r="A72" s="267" t="s">
        <v>170</v>
      </c>
      <c r="B72" s="49" t="s">
        <v>77</v>
      </c>
      <c r="C72" s="426"/>
      <c r="D72" s="102">
        <v>1220.726</v>
      </c>
      <c r="E72" s="2">
        <v>1.31</v>
      </c>
      <c r="F72" s="17">
        <f t="shared" si="18"/>
        <v>1355.21</v>
      </c>
      <c r="G72" s="21">
        <f t="shared" si="19"/>
        <v>243.94</v>
      </c>
      <c r="H72" s="118">
        <f t="shared" si="20"/>
        <v>1599.15</v>
      </c>
      <c r="I72" s="71">
        <f>D72*4.338</f>
        <v>5295.51</v>
      </c>
      <c r="J72" s="22">
        <f t="shared" si="15"/>
        <v>3940.3</v>
      </c>
      <c r="K72" s="24"/>
      <c r="L72" s="23">
        <f t="shared" si="16"/>
        <v>1599.15</v>
      </c>
      <c r="M72" s="23">
        <f t="shared" si="17"/>
        <v>0</v>
      </c>
      <c r="N72" s="25"/>
      <c r="O72" s="26"/>
      <c r="P72" s="5"/>
    </row>
    <row r="73" spans="1:16" ht="12" customHeight="1">
      <c r="A73" s="267" t="s">
        <v>171</v>
      </c>
      <c r="B73" s="49" t="s">
        <v>76</v>
      </c>
      <c r="C73" s="426"/>
      <c r="D73" s="102">
        <v>74155.218</v>
      </c>
      <c r="E73" s="2">
        <v>1.84</v>
      </c>
      <c r="F73" s="17">
        <f t="shared" si="18"/>
        <v>115631.86</v>
      </c>
      <c r="G73" s="21">
        <f t="shared" si="19"/>
        <v>20813.74</v>
      </c>
      <c r="H73" s="118">
        <f t="shared" si="20"/>
        <v>136445.6</v>
      </c>
      <c r="I73" s="71">
        <f>D73*7.218</f>
        <v>535252.36</v>
      </c>
      <c r="J73" s="22">
        <f>I73-F73</f>
        <v>419620.5</v>
      </c>
      <c r="K73" s="28"/>
      <c r="L73" s="23">
        <f t="shared" si="16"/>
        <v>136445.6</v>
      </c>
      <c r="M73" s="23">
        <f t="shared" si="17"/>
        <v>0</v>
      </c>
      <c r="N73" s="25"/>
      <c r="O73" s="26"/>
      <c r="P73" s="5"/>
    </row>
    <row r="74" spans="1:16" s="1" customFormat="1" ht="12" customHeight="1">
      <c r="A74" s="267" t="s">
        <v>172</v>
      </c>
      <c r="B74" s="49" t="s">
        <v>81</v>
      </c>
      <c r="C74" s="426"/>
      <c r="D74" s="102">
        <v>200246.513</v>
      </c>
      <c r="E74" s="2">
        <v>1.81</v>
      </c>
      <c r="F74" s="17">
        <f t="shared" si="18"/>
        <v>307157.79</v>
      </c>
      <c r="G74" s="21">
        <f t="shared" si="19"/>
        <v>55288.4</v>
      </c>
      <c r="H74" s="118">
        <f t="shared" si="20"/>
        <v>362446.19</v>
      </c>
      <c r="I74" s="30">
        <f>D74*6.383</f>
        <v>1278173.49</v>
      </c>
      <c r="J74" s="58">
        <f t="shared" si="15"/>
        <v>971015.7</v>
      </c>
      <c r="K74" s="59"/>
      <c r="L74" s="60">
        <f t="shared" si="16"/>
        <v>362446.19</v>
      </c>
      <c r="M74" s="60">
        <f t="shared" si="17"/>
        <v>0</v>
      </c>
      <c r="N74" s="61"/>
      <c r="O74" s="32"/>
      <c r="P74" s="32"/>
    </row>
    <row r="75" spans="1:16" ht="12" customHeight="1">
      <c r="A75" s="267" t="s">
        <v>173</v>
      </c>
      <c r="B75" s="49" t="s">
        <v>77</v>
      </c>
      <c r="C75" s="425"/>
      <c r="D75" s="102">
        <v>22304.24</v>
      </c>
      <c r="E75" s="2">
        <v>0.92</v>
      </c>
      <c r="F75" s="17">
        <f t="shared" si="18"/>
        <v>17389.75</v>
      </c>
      <c r="G75" s="21">
        <f t="shared" si="19"/>
        <v>3130.15</v>
      </c>
      <c r="H75" s="118">
        <f t="shared" si="20"/>
        <v>20519.9</v>
      </c>
      <c r="I75" s="71">
        <f>D75*4.338</f>
        <v>96755.79</v>
      </c>
      <c r="J75" s="22">
        <f t="shared" si="15"/>
        <v>79366.04</v>
      </c>
      <c r="K75" s="24"/>
      <c r="L75" s="23">
        <f t="shared" si="16"/>
        <v>20519.9</v>
      </c>
      <c r="M75" s="23">
        <f t="shared" si="17"/>
        <v>0</v>
      </c>
      <c r="N75" s="25"/>
      <c r="O75" s="26"/>
      <c r="P75" s="5"/>
    </row>
    <row r="76" spans="1:16" ht="12" customHeight="1">
      <c r="A76" s="267" t="s">
        <v>174</v>
      </c>
      <c r="B76" s="49" t="s">
        <v>75</v>
      </c>
      <c r="C76" s="424" t="s">
        <v>132</v>
      </c>
      <c r="D76" s="102">
        <f>2014</f>
        <v>2014</v>
      </c>
      <c r="E76" s="2">
        <v>1.84</v>
      </c>
      <c r="F76" s="17">
        <f t="shared" si="18"/>
        <v>3140.47</v>
      </c>
      <c r="G76" s="21">
        <f t="shared" si="19"/>
        <v>565.29</v>
      </c>
      <c r="H76" s="118">
        <f t="shared" si="20"/>
        <v>3705.76</v>
      </c>
      <c r="I76" s="71">
        <f>D76*7.218</f>
        <v>14537.05</v>
      </c>
      <c r="J76" s="22">
        <f t="shared" si="15"/>
        <v>11396.58</v>
      </c>
      <c r="K76" s="24"/>
      <c r="L76" s="23">
        <f t="shared" si="16"/>
        <v>3705.76</v>
      </c>
      <c r="M76" s="23">
        <f t="shared" si="17"/>
        <v>0</v>
      </c>
      <c r="N76" s="25"/>
      <c r="O76" s="26"/>
      <c r="P76" s="5"/>
    </row>
    <row r="77" spans="1:16" ht="11.25" customHeight="1">
      <c r="A77" s="267" t="s">
        <v>175</v>
      </c>
      <c r="B77" s="238" t="s">
        <v>75</v>
      </c>
      <c r="C77" s="426"/>
      <c r="D77" s="102">
        <f>964</f>
        <v>964</v>
      </c>
      <c r="E77" s="2">
        <v>0.92</v>
      </c>
      <c r="F77" s="17">
        <f t="shared" si="18"/>
        <v>751.59</v>
      </c>
      <c r="G77" s="21">
        <f t="shared" si="19"/>
        <v>135.29</v>
      </c>
      <c r="H77" s="118">
        <f t="shared" si="20"/>
        <v>886.88</v>
      </c>
      <c r="I77" s="71">
        <f>D77*4.338</f>
        <v>4181.83</v>
      </c>
      <c r="J77" s="22">
        <f t="shared" si="15"/>
        <v>3430.24</v>
      </c>
      <c r="K77" s="24"/>
      <c r="L77" s="23">
        <f t="shared" si="16"/>
        <v>886.88</v>
      </c>
      <c r="M77" s="23">
        <f t="shared" si="17"/>
        <v>0</v>
      </c>
      <c r="N77" s="25"/>
      <c r="O77" s="26"/>
      <c r="P77" s="5"/>
    </row>
    <row r="78" spans="1:16" ht="11.25" customHeight="1">
      <c r="A78" s="267" t="s">
        <v>176</v>
      </c>
      <c r="B78" s="238" t="s">
        <v>75</v>
      </c>
      <c r="C78" s="426"/>
      <c r="D78" s="102">
        <f>6320</f>
        <v>6320</v>
      </c>
      <c r="E78" s="2">
        <v>1.81</v>
      </c>
      <c r="F78" s="17">
        <f t="shared" si="18"/>
        <v>9694.24</v>
      </c>
      <c r="G78" s="21">
        <f t="shared" si="19"/>
        <v>1744.96</v>
      </c>
      <c r="H78" s="118">
        <f t="shared" si="20"/>
        <v>11439.2</v>
      </c>
      <c r="I78" s="71">
        <f>D78*6.383</f>
        <v>40340.56</v>
      </c>
      <c r="J78" s="22">
        <f aca="true" t="shared" si="21" ref="J78:J93">I78-F78</f>
        <v>30646.32</v>
      </c>
      <c r="K78" s="24"/>
      <c r="L78" s="23">
        <f t="shared" si="16"/>
        <v>11439.2</v>
      </c>
      <c r="M78" s="23">
        <f t="shared" si="17"/>
        <v>0</v>
      </c>
      <c r="N78" s="25"/>
      <c r="O78" s="26"/>
      <c r="P78" s="5"/>
    </row>
    <row r="79" spans="1:16" ht="11.25" customHeight="1">
      <c r="A79" s="267" t="s">
        <v>177</v>
      </c>
      <c r="B79" s="238" t="s">
        <v>75</v>
      </c>
      <c r="C79" s="426"/>
      <c r="D79" s="102">
        <v>0</v>
      </c>
      <c r="E79" s="2">
        <v>1.31</v>
      </c>
      <c r="F79" s="17">
        <f t="shared" si="18"/>
        <v>0</v>
      </c>
      <c r="G79" s="21">
        <f t="shared" si="19"/>
        <v>0</v>
      </c>
      <c r="H79" s="118">
        <f t="shared" si="20"/>
        <v>0</v>
      </c>
      <c r="I79" s="71">
        <f>D79*4.338</f>
        <v>0</v>
      </c>
      <c r="J79" s="22">
        <f t="shared" si="21"/>
        <v>0</v>
      </c>
      <c r="K79" s="24"/>
      <c r="L79" s="23">
        <f t="shared" si="16"/>
        <v>0</v>
      </c>
      <c r="M79" s="23">
        <f t="shared" si="17"/>
        <v>0</v>
      </c>
      <c r="N79" s="25"/>
      <c r="O79" s="26"/>
      <c r="P79" s="5"/>
    </row>
    <row r="80" spans="1:16" ht="11.25" customHeight="1">
      <c r="A80" s="267" t="s">
        <v>178</v>
      </c>
      <c r="B80" s="238" t="s">
        <v>75</v>
      </c>
      <c r="C80" s="426"/>
      <c r="D80" s="102">
        <v>35</v>
      </c>
      <c r="E80" s="2">
        <v>2.63</v>
      </c>
      <c r="F80" s="17">
        <f aca="true" t="shared" si="22" ref="F80:F105">H80-G80</f>
        <v>78.01</v>
      </c>
      <c r="G80" s="21">
        <f aca="true" t="shared" si="23" ref="G80:G105">H80/6.5555555</f>
        <v>14.04</v>
      </c>
      <c r="H80" s="118">
        <f aca="true" t="shared" si="24" ref="H80:H105">D80*E80</f>
        <v>92.05</v>
      </c>
      <c r="I80" s="71">
        <f>D80*7.218</f>
        <v>252.63</v>
      </c>
      <c r="J80" s="22">
        <f t="shared" si="21"/>
        <v>174.62</v>
      </c>
      <c r="K80" s="28">
        <f>SUM(J70:J81)</f>
        <v>1604214.73</v>
      </c>
      <c r="L80" s="23">
        <f t="shared" si="16"/>
        <v>92.05</v>
      </c>
      <c r="M80" s="23">
        <f t="shared" si="17"/>
        <v>0</v>
      </c>
      <c r="N80" s="25"/>
      <c r="O80" s="26"/>
      <c r="P80" s="5"/>
    </row>
    <row r="81" spans="1:16" ht="11.25" customHeight="1">
      <c r="A81" s="267" t="s">
        <v>179</v>
      </c>
      <c r="B81" s="238" t="s">
        <v>75</v>
      </c>
      <c r="C81" s="425"/>
      <c r="D81" s="102">
        <f>835</f>
        <v>835</v>
      </c>
      <c r="E81" s="2">
        <v>2.58</v>
      </c>
      <c r="F81" s="17">
        <f t="shared" si="22"/>
        <v>1825.68</v>
      </c>
      <c r="G81" s="21">
        <f t="shared" si="23"/>
        <v>328.62</v>
      </c>
      <c r="H81" s="118">
        <f t="shared" si="24"/>
        <v>2154.3</v>
      </c>
      <c r="I81" s="71">
        <f>D81*6.383</f>
        <v>5329.81</v>
      </c>
      <c r="J81" s="22">
        <f t="shared" si="21"/>
        <v>3504.13</v>
      </c>
      <c r="K81" s="28"/>
      <c r="L81" s="23">
        <f t="shared" si="16"/>
        <v>2154.3</v>
      </c>
      <c r="M81" s="23">
        <f t="shared" si="17"/>
        <v>0</v>
      </c>
      <c r="N81" s="25"/>
      <c r="O81" s="26"/>
      <c r="P81" s="5"/>
    </row>
    <row r="82" spans="1:16" ht="12" customHeight="1">
      <c r="A82" s="267" t="s">
        <v>180</v>
      </c>
      <c r="B82" s="49" t="s">
        <v>83</v>
      </c>
      <c r="C82" s="424" t="s">
        <v>129</v>
      </c>
      <c r="D82" s="102">
        <f>42137.438+3614.155</f>
        <v>45751.593</v>
      </c>
      <c r="E82" s="2">
        <v>2.63</v>
      </c>
      <c r="F82" s="17">
        <f t="shared" si="22"/>
        <v>101971.77</v>
      </c>
      <c r="G82" s="21">
        <f t="shared" si="23"/>
        <v>18354.92</v>
      </c>
      <c r="H82" s="118">
        <f t="shared" si="24"/>
        <v>120326.69</v>
      </c>
      <c r="I82" s="71">
        <f>D82*7.218</f>
        <v>330235</v>
      </c>
      <c r="J82" s="22">
        <f t="shared" si="21"/>
        <v>228263.23</v>
      </c>
      <c r="K82" s="24"/>
      <c r="L82" s="23">
        <f t="shared" si="16"/>
        <v>120326.69</v>
      </c>
      <c r="M82" s="23">
        <f t="shared" si="17"/>
        <v>0</v>
      </c>
      <c r="N82" s="25"/>
      <c r="O82" s="26"/>
      <c r="P82" s="5"/>
    </row>
    <row r="83" spans="1:16" ht="12" customHeight="1">
      <c r="A83" s="267" t="s">
        <v>181</v>
      </c>
      <c r="B83" s="49" t="s">
        <v>84</v>
      </c>
      <c r="C83" s="426"/>
      <c r="D83" s="102">
        <f>17144.367+800.068</f>
        <v>17944.435</v>
      </c>
      <c r="E83" s="2">
        <v>1.31</v>
      </c>
      <c r="F83" s="17">
        <f t="shared" si="22"/>
        <v>19921.36</v>
      </c>
      <c r="G83" s="21">
        <f t="shared" si="23"/>
        <v>3585.85</v>
      </c>
      <c r="H83" s="118">
        <f t="shared" si="24"/>
        <v>23507.21</v>
      </c>
      <c r="I83" s="71">
        <f>D83*4.338</f>
        <v>77842.96</v>
      </c>
      <c r="J83" s="22">
        <f t="shared" si="21"/>
        <v>57921.6</v>
      </c>
      <c r="K83" s="24"/>
      <c r="L83" s="23">
        <f t="shared" si="16"/>
        <v>23507.21</v>
      </c>
      <c r="M83" s="23">
        <f t="shared" si="17"/>
        <v>0</v>
      </c>
      <c r="N83" s="25"/>
      <c r="O83" s="26"/>
      <c r="P83" s="5"/>
    </row>
    <row r="84" spans="1:16" ht="12" customHeight="1">
      <c r="A84" s="267" t="s">
        <v>182</v>
      </c>
      <c r="B84" s="49" t="s">
        <v>82</v>
      </c>
      <c r="C84" s="426"/>
      <c r="D84" s="102">
        <v>99628.096</v>
      </c>
      <c r="E84" s="2">
        <v>2.58</v>
      </c>
      <c r="F84" s="17">
        <f t="shared" si="22"/>
        <v>217830.92</v>
      </c>
      <c r="G84" s="21">
        <f t="shared" si="23"/>
        <v>39209.57</v>
      </c>
      <c r="H84" s="118">
        <f t="shared" si="24"/>
        <v>257040.49</v>
      </c>
      <c r="I84" s="71">
        <f>D84*6.383</f>
        <v>635926.14</v>
      </c>
      <c r="J84" s="22">
        <f t="shared" si="21"/>
        <v>418095.22</v>
      </c>
      <c r="K84" s="24"/>
      <c r="L84" s="23">
        <f t="shared" si="16"/>
        <v>257040.49</v>
      </c>
      <c r="M84" s="23">
        <f t="shared" si="17"/>
        <v>0</v>
      </c>
      <c r="N84" s="25"/>
      <c r="O84" s="26"/>
      <c r="P84" s="5"/>
    </row>
    <row r="85" spans="1:16" ht="12" customHeight="1">
      <c r="A85" s="267" t="s">
        <v>183</v>
      </c>
      <c r="B85" s="49" t="s">
        <v>86</v>
      </c>
      <c r="C85" s="426"/>
      <c r="D85" s="102">
        <v>6901.615</v>
      </c>
      <c r="E85" s="2">
        <v>1.84</v>
      </c>
      <c r="F85" s="17">
        <f t="shared" si="22"/>
        <v>10761.84</v>
      </c>
      <c r="G85" s="21">
        <f t="shared" si="23"/>
        <v>1937.13</v>
      </c>
      <c r="H85" s="118">
        <f t="shared" si="24"/>
        <v>12698.97</v>
      </c>
      <c r="I85" s="71">
        <f>D85*7.218</f>
        <v>49815.86</v>
      </c>
      <c r="J85" s="22">
        <f t="shared" si="21"/>
        <v>39054.02</v>
      </c>
      <c r="K85" s="24"/>
      <c r="L85" s="23">
        <f t="shared" si="16"/>
        <v>12698.97</v>
      </c>
      <c r="M85" s="23">
        <f t="shared" si="17"/>
        <v>0</v>
      </c>
      <c r="N85" s="25"/>
      <c r="O85" s="26"/>
      <c r="P85" s="62"/>
    </row>
    <row r="86" spans="1:16" ht="12" customHeight="1">
      <c r="A86" s="267" t="s">
        <v>184</v>
      </c>
      <c r="B86" s="49" t="s">
        <v>84</v>
      </c>
      <c r="C86" s="426"/>
      <c r="D86" s="102">
        <f>1969.577+553.836</f>
        <v>2523.413</v>
      </c>
      <c r="E86" s="2">
        <v>0.92</v>
      </c>
      <c r="F86" s="17">
        <f t="shared" si="22"/>
        <v>1967.41</v>
      </c>
      <c r="G86" s="21">
        <f t="shared" si="23"/>
        <v>354.13</v>
      </c>
      <c r="H86" s="118">
        <f t="shared" si="24"/>
        <v>2321.54</v>
      </c>
      <c r="I86" s="71">
        <f>D86*4.338</f>
        <v>10946.57</v>
      </c>
      <c r="J86" s="22">
        <f t="shared" si="21"/>
        <v>8979.16</v>
      </c>
      <c r="K86" s="24"/>
      <c r="L86" s="23">
        <f t="shared" si="16"/>
        <v>2321.54</v>
      </c>
      <c r="M86" s="23">
        <f t="shared" si="17"/>
        <v>0</v>
      </c>
      <c r="N86" s="25"/>
      <c r="O86" s="26"/>
      <c r="P86" s="5"/>
    </row>
    <row r="87" spans="1:16" s="66" customFormat="1" ht="12" customHeight="1">
      <c r="A87" s="267" t="s">
        <v>185</v>
      </c>
      <c r="B87" s="49" t="s">
        <v>85</v>
      </c>
      <c r="C87" s="425"/>
      <c r="D87" s="102">
        <v>32108.011</v>
      </c>
      <c r="E87" s="2">
        <v>1.81</v>
      </c>
      <c r="F87" s="17">
        <f t="shared" si="22"/>
        <v>49250.42</v>
      </c>
      <c r="G87" s="21">
        <f>H87/6.5555555</f>
        <v>8865.08</v>
      </c>
      <c r="H87" s="118">
        <f t="shared" si="24"/>
        <v>58115.5</v>
      </c>
      <c r="I87" s="71">
        <f>D87*6.383</f>
        <v>204945.43</v>
      </c>
      <c r="J87" s="58">
        <f t="shared" si="21"/>
        <v>155695.01</v>
      </c>
      <c r="K87" s="63"/>
      <c r="L87" s="23">
        <f t="shared" si="16"/>
        <v>58115.5</v>
      </c>
      <c r="M87" s="23">
        <f t="shared" si="17"/>
        <v>0</v>
      </c>
      <c r="N87" s="64"/>
      <c r="O87" s="65"/>
      <c r="P87" s="65"/>
    </row>
    <row r="88" spans="1:16" ht="12" customHeight="1">
      <c r="A88" s="267" t="s">
        <v>186</v>
      </c>
      <c r="B88" s="49" t="s">
        <v>87</v>
      </c>
      <c r="C88" s="424" t="s">
        <v>128</v>
      </c>
      <c r="D88" s="102">
        <f>97+688.86</f>
        <v>785.86</v>
      </c>
      <c r="E88" s="2">
        <v>2.58</v>
      </c>
      <c r="F88" s="17">
        <f t="shared" si="22"/>
        <v>1718.23</v>
      </c>
      <c r="G88" s="21">
        <f>H88/6.5555555+0.01</f>
        <v>309.29</v>
      </c>
      <c r="H88" s="118">
        <f t="shared" si="24"/>
        <v>2027.52</v>
      </c>
      <c r="I88" s="71">
        <f>D88*6.383</f>
        <v>5016.14</v>
      </c>
      <c r="J88" s="22">
        <f t="shared" si="21"/>
        <v>3297.91</v>
      </c>
      <c r="K88" s="24"/>
      <c r="L88" s="23">
        <f t="shared" si="16"/>
        <v>2027.52</v>
      </c>
      <c r="M88" s="23">
        <f t="shared" si="17"/>
        <v>0</v>
      </c>
      <c r="N88" s="25"/>
      <c r="O88" s="26"/>
      <c r="P88" s="62"/>
    </row>
    <row r="89" spans="1:16" ht="12" customHeight="1">
      <c r="A89" s="267" t="s">
        <v>187</v>
      </c>
      <c r="B89" s="49" t="s">
        <v>87</v>
      </c>
      <c r="C89" s="426"/>
      <c r="D89" s="102">
        <v>0</v>
      </c>
      <c r="E89" s="2">
        <v>2.63</v>
      </c>
      <c r="F89" s="17">
        <f t="shared" si="22"/>
        <v>0</v>
      </c>
      <c r="G89" s="21">
        <f t="shared" si="23"/>
        <v>0</v>
      </c>
      <c r="H89" s="118">
        <f t="shared" si="24"/>
        <v>0</v>
      </c>
      <c r="I89" s="71">
        <f>D89*7.218</f>
        <v>0</v>
      </c>
      <c r="J89" s="22">
        <f t="shared" si="21"/>
        <v>0</v>
      </c>
      <c r="K89" s="24"/>
      <c r="L89" s="23">
        <f t="shared" si="16"/>
        <v>0</v>
      </c>
      <c r="M89" s="23">
        <f t="shared" si="17"/>
        <v>0</v>
      </c>
      <c r="N89" s="25"/>
      <c r="O89" s="26"/>
      <c r="P89" s="5"/>
    </row>
    <row r="90" spans="1:16" ht="12" customHeight="1">
      <c r="A90" s="267" t="s">
        <v>188</v>
      </c>
      <c r="B90" s="49" t="s">
        <v>87</v>
      </c>
      <c r="C90" s="426"/>
      <c r="D90" s="102">
        <v>0</v>
      </c>
      <c r="E90" s="2">
        <v>1.31</v>
      </c>
      <c r="F90" s="17">
        <f t="shared" si="22"/>
        <v>0</v>
      </c>
      <c r="G90" s="21">
        <f t="shared" si="23"/>
        <v>0</v>
      </c>
      <c r="H90" s="118">
        <f t="shared" si="24"/>
        <v>0</v>
      </c>
      <c r="I90" s="71">
        <f>D90*4.338</f>
        <v>0</v>
      </c>
      <c r="J90" s="22">
        <f t="shared" si="21"/>
        <v>0</v>
      </c>
      <c r="K90" s="24"/>
      <c r="L90" s="23">
        <f t="shared" si="16"/>
        <v>0</v>
      </c>
      <c r="M90" s="23">
        <f t="shared" si="17"/>
        <v>0</v>
      </c>
      <c r="N90" s="25"/>
      <c r="O90" s="26"/>
      <c r="P90" s="5"/>
    </row>
    <row r="91" spans="1:16" ht="12" customHeight="1">
      <c r="A91" s="267" t="s">
        <v>189</v>
      </c>
      <c r="B91" s="49" t="s">
        <v>87</v>
      </c>
      <c r="C91" s="426"/>
      <c r="D91" s="102">
        <v>470.801</v>
      </c>
      <c r="E91" s="2">
        <v>1.81</v>
      </c>
      <c r="F91" s="17">
        <f t="shared" si="22"/>
        <v>722.16</v>
      </c>
      <c r="G91" s="21">
        <f t="shared" si="23"/>
        <v>129.99</v>
      </c>
      <c r="H91" s="118">
        <f t="shared" si="24"/>
        <v>852.15</v>
      </c>
      <c r="I91" s="71">
        <f>D91*6.383</f>
        <v>3005.12</v>
      </c>
      <c r="J91" s="22">
        <f t="shared" si="21"/>
        <v>2282.96</v>
      </c>
      <c r="K91" s="24"/>
      <c r="L91" s="23">
        <f t="shared" si="16"/>
        <v>852.15</v>
      </c>
      <c r="M91" s="23">
        <f t="shared" si="17"/>
        <v>0</v>
      </c>
      <c r="N91" s="25"/>
      <c r="O91" s="26"/>
      <c r="P91" s="5"/>
    </row>
    <row r="92" spans="1:16" ht="12" customHeight="1">
      <c r="A92" s="267" t="s">
        <v>190</v>
      </c>
      <c r="B92" s="49" t="s">
        <v>87</v>
      </c>
      <c r="C92" s="426"/>
      <c r="D92" s="102">
        <v>0</v>
      </c>
      <c r="E92" s="2">
        <v>1.84</v>
      </c>
      <c r="F92" s="17">
        <f t="shared" si="22"/>
        <v>0</v>
      </c>
      <c r="G92" s="21">
        <f t="shared" si="23"/>
        <v>0</v>
      </c>
      <c r="H92" s="118">
        <f t="shared" si="24"/>
        <v>0</v>
      </c>
      <c r="I92" s="71">
        <f>D92*7.218</f>
        <v>0</v>
      </c>
      <c r="J92" s="22">
        <f t="shared" si="21"/>
        <v>0</v>
      </c>
      <c r="K92" s="27">
        <f>SUM(J82:J93)</f>
        <v>913589.11</v>
      </c>
      <c r="L92" s="23">
        <f t="shared" si="16"/>
        <v>0</v>
      </c>
      <c r="M92" s="23">
        <f t="shared" si="17"/>
        <v>0</v>
      </c>
      <c r="N92" s="25"/>
      <c r="O92" s="26"/>
      <c r="P92" s="5"/>
    </row>
    <row r="93" spans="1:16" ht="12" customHeight="1">
      <c r="A93" s="267" t="s">
        <v>191</v>
      </c>
      <c r="B93" s="49" t="s">
        <v>87</v>
      </c>
      <c r="C93" s="521"/>
      <c r="D93" s="102">
        <v>0</v>
      </c>
      <c r="E93" s="237">
        <v>0.92</v>
      </c>
      <c r="F93" s="17">
        <f t="shared" si="22"/>
        <v>0</v>
      </c>
      <c r="G93" s="21">
        <f t="shared" si="23"/>
        <v>0</v>
      </c>
      <c r="H93" s="118">
        <f t="shared" si="24"/>
        <v>0</v>
      </c>
      <c r="I93" s="71">
        <f>D93*4.338</f>
        <v>0</v>
      </c>
      <c r="J93" s="22">
        <f t="shared" si="21"/>
        <v>0</v>
      </c>
      <c r="K93" s="27"/>
      <c r="L93" s="23">
        <f t="shared" si="16"/>
        <v>0</v>
      </c>
      <c r="M93" s="23">
        <f t="shared" si="17"/>
        <v>0</v>
      </c>
      <c r="N93" s="25"/>
      <c r="O93" s="26"/>
      <c r="P93" s="5"/>
    </row>
    <row r="94" spans="1:16" ht="12" customHeight="1">
      <c r="A94" s="267" t="s">
        <v>263</v>
      </c>
      <c r="B94" s="233" t="s">
        <v>106</v>
      </c>
      <c r="C94" s="424" t="s">
        <v>125</v>
      </c>
      <c r="D94" s="102">
        <f>63106</f>
        <v>63106</v>
      </c>
      <c r="E94" s="234">
        <v>1.84</v>
      </c>
      <c r="F94" s="17">
        <f t="shared" si="22"/>
        <v>98402.58</v>
      </c>
      <c r="G94" s="21">
        <f t="shared" si="23"/>
        <v>17712.46</v>
      </c>
      <c r="H94" s="118">
        <f t="shared" si="24"/>
        <v>116115.04</v>
      </c>
      <c r="I94" s="71">
        <f>D94*7.218</f>
        <v>455499.11</v>
      </c>
      <c r="J94" s="67">
        <f aca="true" t="shared" si="25" ref="J94:J105">I94-F94</f>
        <v>357096.53</v>
      </c>
      <c r="K94" s="27"/>
      <c r="L94" s="23">
        <f aca="true" t="shared" si="26" ref="L94:L105">D94*E94</f>
        <v>116115.04</v>
      </c>
      <c r="M94" s="23">
        <f aca="true" t="shared" si="27" ref="M94:M105">L94-H94</f>
        <v>0</v>
      </c>
      <c r="N94" s="25"/>
      <c r="O94" s="26"/>
      <c r="P94" s="5"/>
    </row>
    <row r="95" spans="1:16" ht="12" customHeight="1">
      <c r="A95" s="267" t="s">
        <v>192</v>
      </c>
      <c r="B95" s="233" t="s">
        <v>106</v>
      </c>
      <c r="C95" s="426"/>
      <c r="D95" s="102">
        <f>16125</f>
        <v>16125</v>
      </c>
      <c r="E95" s="234">
        <v>1.81</v>
      </c>
      <c r="F95" s="17">
        <f t="shared" si="22"/>
        <v>24734.11</v>
      </c>
      <c r="G95" s="21">
        <f t="shared" si="23"/>
        <v>4452.14</v>
      </c>
      <c r="H95" s="118">
        <f t="shared" si="24"/>
        <v>29186.25</v>
      </c>
      <c r="I95" s="71">
        <f>D95*6.383</f>
        <v>102925.88</v>
      </c>
      <c r="J95" s="67">
        <f t="shared" si="25"/>
        <v>78191.77</v>
      </c>
      <c r="K95" s="27"/>
      <c r="L95" s="23">
        <f t="shared" si="26"/>
        <v>29186.25</v>
      </c>
      <c r="M95" s="23">
        <f t="shared" si="27"/>
        <v>0</v>
      </c>
      <c r="N95" s="25"/>
      <c r="O95" s="26"/>
      <c r="P95" s="5"/>
    </row>
    <row r="96" spans="1:16" ht="12" customHeight="1">
      <c r="A96" s="267" t="s">
        <v>193</v>
      </c>
      <c r="B96" s="233" t="s">
        <v>106</v>
      </c>
      <c r="C96" s="426"/>
      <c r="D96" s="102">
        <f>27270</f>
        <v>27270</v>
      </c>
      <c r="E96" s="234">
        <v>0.92</v>
      </c>
      <c r="F96" s="17">
        <f t="shared" si="22"/>
        <v>21261.36</v>
      </c>
      <c r="G96" s="21">
        <f t="shared" si="23"/>
        <v>3827.04</v>
      </c>
      <c r="H96" s="118">
        <f t="shared" si="24"/>
        <v>25088.4</v>
      </c>
      <c r="I96" s="71">
        <f>D96*4.338</f>
        <v>118297.26</v>
      </c>
      <c r="J96" s="67">
        <f t="shared" si="25"/>
        <v>97035.9</v>
      </c>
      <c r="K96" s="27"/>
      <c r="L96" s="23">
        <f t="shared" si="26"/>
        <v>25088.4</v>
      </c>
      <c r="M96" s="23">
        <f t="shared" si="27"/>
        <v>0</v>
      </c>
      <c r="N96" s="25"/>
      <c r="O96" s="26"/>
      <c r="P96" s="5"/>
    </row>
    <row r="97" spans="1:16" ht="12" customHeight="1">
      <c r="A97" s="267" t="s">
        <v>194</v>
      </c>
      <c r="B97" s="233" t="s">
        <v>106</v>
      </c>
      <c r="C97" s="426"/>
      <c r="D97" s="102">
        <f>4700+490.581</f>
        <v>5190.581</v>
      </c>
      <c r="E97" s="234">
        <v>2.58</v>
      </c>
      <c r="F97" s="17">
        <f t="shared" si="22"/>
        <v>11348.9</v>
      </c>
      <c r="G97" s="21">
        <f>H97/6.5555555</f>
        <v>2042.8</v>
      </c>
      <c r="H97" s="118">
        <f t="shared" si="24"/>
        <v>13391.7</v>
      </c>
      <c r="I97" s="71">
        <f>D97*6.383</f>
        <v>33131.48</v>
      </c>
      <c r="J97" s="67">
        <f t="shared" si="25"/>
        <v>21782.58</v>
      </c>
      <c r="K97" s="27"/>
      <c r="L97" s="23">
        <f t="shared" si="26"/>
        <v>13391.7</v>
      </c>
      <c r="M97" s="23">
        <f t="shared" si="27"/>
        <v>0</v>
      </c>
      <c r="N97" s="25"/>
      <c r="O97" s="26"/>
      <c r="P97" s="5"/>
    </row>
    <row r="98" spans="1:16" ht="12" customHeight="1">
      <c r="A98" s="267" t="s">
        <v>195</v>
      </c>
      <c r="B98" s="233" t="s">
        <v>106</v>
      </c>
      <c r="C98" s="426"/>
      <c r="D98" s="102">
        <f>22785+816</f>
        <v>23601</v>
      </c>
      <c r="E98" s="234">
        <v>2.63</v>
      </c>
      <c r="F98" s="17">
        <f t="shared" si="22"/>
        <v>52602.23</v>
      </c>
      <c r="G98" s="21">
        <f>H98/6.5555555</f>
        <v>9468.4</v>
      </c>
      <c r="H98" s="118">
        <f t="shared" si="24"/>
        <v>62070.63</v>
      </c>
      <c r="I98" s="71">
        <f>D98*7.218</f>
        <v>170352.02</v>
      </c>
      <c r="J98" s="67">
        <f t="shared" si="25"/>
        <v>117749.79</v>
      </c>
      <c r="K98" s="27"/>
      <c r="L98" s="23">
        <f t="shared" si="26"/>
        <v>62070.63</v>
      </c>
      <c r="M98" s="23">
        <f t="shared" si="27"/>
        <v>0</v>
      </c>
      <c r="N98" s="25"/>
      <c r="O98" s="26"/>
      <c r="P98" s="5"/>
    </row>
    <row r="99" spans="1:16" ht="12" customHeight="1">
      <c r="A99" s="267" t="s">
        <v>196</v>
      </c>
      <c r="B99" s="233" t="s">
        <v>106</v>
      </c>
      <c r="C99" s="425"/>
      <c r="D99" s="102">
        <f>8830+449</f>
        <v>9279</v>
      </c>
      <c r="E99" s="234">
        <v>1.31</v>
      </c>
      <c r="F99" s="17">
        <f t="shared" si="22"/>
        <v>10301.27</v>
      </c>
      <c r="G99" s="21">
        <f>H99/6.5555555-0.01</f>
        <v>1854.22</v>
      </c>
      <c r="H99" s="118">
        <f t="shared" si="24"/>
        <v>12155.49</v>
      </c>
      <c r="I99" s="71">
        <f>D99*4.338</f>
        <v>40252.3</v>
      </c>
      <c r="J99" s="67">
        <f t="shared" si="25"/>
        <v>29951.03</v>
      </c>
      <c r="K99" s="27"/>
      <c r="L99" s="23">
        <f t="shared" si="26"/>
        <v>12155.49</v>
      </c>
      <c r="M99" s="23">
        <f t="shared" si="27"/>
        <v>0</v>
      </c>
      <c r="N99" s="25"/>
      <c r="O99" s="26"/>
      <c r="P99" s="5"/>
    </row>
    <row r="100" spans="1:16" s="56" customFormat="1" ht="12" customHeight="1">
      <c r="A100" s="267" t="s">
        <v>197</v>
      </c>
      <c r="B100" s="233" t="s">
        <v>105</v>
      </c>
      <c r="C100" s="424" t="s">
        <v>126</v>
      </c>
      <c r="D100" s="102">
        <f>1710</f>
        <v>1710</v>
      </c>
      <c r="E100" s="234">
        <v>2.58</v>
      </c>
      <c r="F100" s="17">
        <f t="shared" si="22"/>
        <v>3738.81</v>
      </c>
      <c r="G100" s="21">
        <f t="shared" si="23"/>
        <v>672.99</v>
      </c>
      <c r="H100" s="118">
        <f t="shared" si="24"/>
        <v>4411.8</v>
      </c>
      <c r="I100" s="254">
        <f>D100*6.383</f>
        <v>10914.93</v>
      </c>
      <c r="J100" s="67">
        <f t="shared" si="25"/>
        <v>7176.12</v>
      </c>
      <c r="K100" s="68"/>
      <c r="L100" s="52">
        <f t="shared" si="26"/>
        <v>4411.8</v>
      </c>
      <c r="M100" s="52">
        <f t="shared" si="27"/>
        <v>0</v>
      </c>
      <c r="N100" s="69"/>
      <c r="O100" s="55"/>
      <c r="P100" s="55"/>
    </row>
    <row r="101" spans="1:16" s="56" customFormat="1" ht="12" customHeight="1">
      <c r="A101" s="267" t="s">
        <v>198</v>
      </c>
      <c r="B101" s="233" t="s">
        <v>105</v>
      </c>
      <c r="C101" s="426"/>
      <c r="D101" s="102">
        <v>135</v>
      </c>
      <c r="E101" s="234">
        <v>2.63</v>
      </c>
      <c r="F101" s="17">
        <f t="shared" si="22"/>
        <v>300.89</v>
      </c>
      <c r="G101" s="21">
        <f t="shared" si="23"/>
        <v>54.16</v>
      </c>
      <c r="H101" s="118">
        <f t="shared" si="24"/>
        <v>355.05</v>
      </c>
      <c r="I101" s="254">
        <f>D101*7.218</f>
        <v>974.43</v>
      </c>
      <c r="J101" s="67">
        <f t="shared" si="25"/>
        <v>673.54</v>
      </c>
      <c r="K101" s="68"/>
      <c r="L101" s="52">
        <f t="shared" si="26"/>
        <v>355.05</v>
      </c>
      <c r="M101" s="52">
        <f t="shared" si="27"/>
        <v>0</v>
      </c>
      <c r="N101" s="69"/>
      <c r="O101" s="55"/>
      <c r="P101" s="55"/>
    </row>
    <row r="102" spans="1:16" s="56" customFormat="1" ht="12" customHeight="1">
      <c r="A102" s="267" t="s">
        <v>199</v>
      </c>
      <c r="B102" s="233" t="s">
        <v>105</v>
      </c>
      <c r="C102" s="426"/>
      <c r="D102" s="102">
        <f>71</f>
        <v>71</v>
      </c>
      <c r="E102" s="234">
        <v>1.31</v>
      </c>
      <c r="F102" s="17">
        <f t="shared" si="22"/>
        <v>78.82</v>
      </c>
      <c r="G102" s="21">
        <f t="shared" si="23"/>
        <v>14.19</v>
      </c>
      <c r="H102" s="118">
        <f t="shared" si="24"/>
        <v>93.01</v>
      </c>
      <c r="I102" s="254">
        <f>D102*4.338</f>
        <v>308</v>
      </c>
      <c r="J102" s="67">
        <f t="shared" si="25"/>
        <v>229.18</v>
      </c>
      <c r="K102" s="68"/>
      <c r="L102" s="52">
        <f t="shared" si="26"/>
        <v>93.01</v>
      </c>
      <c r="M102" s="52">
        <f t="shared" si="27"/>
        <v>0</v>
      </c>
      <c r="N102" s="69"/>
      <c r="O102" s="55"/>
      <c r="P102" s="55"/>
    </row>
    <row r="103" spans="1:16" s="56" customFormat="1" ht="12" customHeight="1">
      <c r="A103" s="267" t="s">
        <v>200</v>
      </c>
      <c r="B103" s="233" t="s">
        <v>105</v>
      </c>
      <c r="C103" s="426"/>
      <c r="D103" s="102">
        <f>1504</f>
        <v>1504</v>
      </c>
      <c r="E103" s="234">
        <v>1.84</v>
      </c>
      <c r="F103" s="17">
        <f t="shared" si="22"/>
        <v>2345.22</v>
      </c>
      <c r="G103" s="21">
        <f t="shared" si="23"/>
        <v>422.14</v>
      </c>
      <c r="H103" s="118">
        <f t="shared" si="24"/>
        <v>2767.36</v>
      </c>
      <c r="I103" s="254">
        <f>D103*7.218</f>
        <v>10855.87</v>
      </c>
      <c r="J103" s="67">
        <f t="shared" si="25"/>
        <v>8510.65</v>
      </c>
      <c r="K103" s="68"/>
      <c r="L103" s="52">
        <f t="shared" si="26"/>
        <v>2767.36</v>
      </c>
      <c r="M103" s="52">
        <f t="shared" si="27"/>
        <v>0</v>
      </c>
      <c r="N103" s="69"/>
      <c r="O103" s="55"/>
      <c r="P103" s="55"/>
    </row>
    <row r="104" spans="1:16" s="56" customFormat="1" ht="12" customHeight="1">
      <c r="A104" s="267" t="s">
        <v>201</v>
      </c>
      <c r="B104" s="233" t="s">
        <v>105</v>
      </c>
      <c r="C104" s="426"/>
      <c r="D104" s="102">
        <f>956</f>
        <v>956</v>
      </c>
      <c r="E104" s="234">
        <v>0.92</v>
      </c>
      <c r="F104" s="17">
        <f t="shared" si="22"/>
        <v>745.36</v>
      </c>
      <c r="G104" s="21">
        <f t="shared" si="23"/>
        <v>134.16</v>
      </c>
      <c r="H104" s="118">
        <f t="shared" si="24"/>
        <v>879.52</v>
      </c>
      <c r="I104" s="254">
        <f>D104*4.338</f>
        <v>4147.13</v>
      </c>
      <c r="J104" s="67">
        <f t="shared" si="25"/>
        <v>3401.77</v>
      </c>
      <c r="K104" s="68"/>
      <c r="L104" s="52">
        <f t="shared" si="26"/>
        <v>879.52</v>
      </c>
      <c r="M104" s="52">
        <f t="shared" si="27"/>
        <v>0</v>
      </c>
      <c r="N104" s="69"/>
      <c r="O104" s="55"/>
      <c r="P104" s="55"/>
    </row>
    <row r="105" spans="1:16" s="56" customFormat="1" ht="12" customHeight="1" thickBot="1">
      <c r="A105" s="267" t="s">
        <v>202</v>
      </c>
      <c r="B105" s="235" t="s">
        <v>105</v>
      </c>
      <c r="C105" s="529"/>
      <c r="D105" s="102">
        <v>0</v>
      </c>
      <c r="E105" s="236">
        <v>1.81</v>
      </c>
      <c r="F105" s="17">
        <f t="shared" si="22"/>
        <v>0</v>
      </c>
      <c r="G105" s="21">
        <f t="shared" si="23"/>
        <v>0</v>
      </c>
      <c r="H105" s="118">
        <f t="shared" si="24"/>
        <v>0</v>
      </c>
      <c r="I105" s="254">
        <f>D105*6.383</f>
        <v>0</v>
      </c>
      <c r="J105" s="67">
        <f t="shared" si="25"/>
        <v>0</v>
      </c>
      <c r="K105" s="70">
        <f>SUM(J94:J105)</f>
        <v>721798.86</v>
      </c>
      <c r="L105" s="52">
        <f t="shared" si="26"/>
        <v>0</v>
      </c>
      <c r="M105" s="52">
        <f t="shared" si="27"/>
        <v>0</v>
      </c>
      <c r="N105" s="69"/>
      <c r="O105" s="55"/>
      <c r="P105" s="55"/>
    </row>
    <row r="106" spans="1:16" ht="12.75" customHeight="1" thickBot="1">
      <c r="A106" s="171" t="s">
        <v>40</v>
      </c>
      <c r="B106" s="14" t="s">
        <v>34</v>
      </c>
      <c r="C106" s="15"/>
      <c r="D106" s="172">
        <f>D12+D27</f>
        <v>20990413.26</v>
      </c>
      <c r="E106" s="173"/>
      <c r="F106" s="174">
        <f>F12+F27</f>
        <v>87452284.07</v>
      </c>
      <c r="G106" s="175">
        <f>G12+G27</f>
        <v>15741411.04</v>
      </c>
      <c r="H106" s="176">
        <f>H12+H27</f>
        <v>103193695.11</v>
      </c>
      <c r="I106" s="71"/>
      <c r="J106" s="78"/>
      <c r="K106" s="177"/>
      <c r="L106" s="178"/>
      <c r="M106" s="178"/>
      <c r="N106" s="178"/>
      <c r="O106" s="178"/>
      <c r="P106" s="179"/>
    </row>
    <row r="107" spans="1:15" ht="15" customHeight="1" thickBot="1">
      <c r="A107" s="269"/>
      <c r="B107" s="16"/>
      <c r="C107" s="16"/>
      <c r="D107" s="180"/>
      <c r="E107" s="180"/>
      <c r="F107" s="181"/>
      <c r="G107" s="181"/>
      <c r="H107" s="270"/>
      <c r="I107" s="71"/>
      <c r="J107" s="78"/>
      <c r="K107" s="10"/>
      <c r="L107" s="10"/>
      <c r="M107" s="10"/>
      <c r="N107" s="10"/>
      <c r="O107" s="10"/>
    </row>
    <row r="108" spans="1:15" ht="15" customHeight="1" thickBot="1">
      <c r="A108" s="73" t="s">
        <v>33</v>
      </c>
      <c r="B108" s="480" t="s">
        <v>35</v>
      </c>
      <c r="C108" s="481"/>
      <c r="D108" s="182"/>
      <c r="E108" s="159"/>
      <c r="F108" s="74"/>
      <c r="G108" s="74"/>
      <c r="H108" s="160"/>
      <c r="I108" s="71"/>
      <c r="J108" s="78"/>
      <c r="K108" s="10"/>
      <c r="L108" s="10"/>
      <c r="M108" s="10"/>
      <c r="N108" s="10"/>
      <c r="O108" s="10"/>
    </row>
    <row r="109" spans="1:15" ht="14.25" customHeight="1">
      <c r="A109" s="86" t="s">
        <v>59</v>
      </c>
      <c r="B109" s="482" t="s">
        <v>12</v>
      </c>
      <c r="C109" s="483"/>
      <c r="D109" s="183">
        <f>D110+D111</f>
        <v>6051</v>
      </c>
      <c r="E109" s="183">
        <v>6.383</v>
      </c>
      <c r="F109" s="184">
        <f>F110+F111</f>
        <v>38623.53</v>
      </c>
      <c r="G109" s="184">
        <f>G110+G111</f>
        <v>6952.23</v>
      </c>
      <c r="H109" s="185">
        <f>H110+H111</f>
        <v>45575.76</v>
      </c>
      <c r="I109" s="71"/>
      <c r="J109" s="78"/>
      <c r="K109" s="148"/>
      <c r="L109" s="10"/>
      <c r="M109" s="10"/>
      <c r="N109" s="10"/>
      <c r="O109" s="10"/>
    </row>
    <row r="110" spans="1:15" ht="15" customHeight="1">
      <c r="A110" s="88" t="s">
        <v>60</v>
      </c>
      <c r="B110" s="484" t="s">
        <v>36</v>
      </c>
      <c r="C110" s="485"/>
      <c r="D110" s="186">
        <f>212+1701</f>
        <v>1913</v>
      </c>
      <c r="E110" s="123">
        <v>6.383</v>
      </c>
      <c r="F110" s="187">
        <f>H110-G110</f>
        <v>12210.68</v>
      </c>
      <c r="G110" s="188">
        <f>H110/6.5555555</f>
        <v>2197.92</v>
      </c>
      <c r="H110" s="189">
        <f>D110*E110*1.18</f>
        <v>14408.6</v>
      </c>
      <c r="I110" s="71" t="s">
        <v>289</v>
      </c>
      <c r="J110" s="78"/>
      <c r="K110" s="10"/>
      <c r="L110" s="10"/>
      <c r="M110" s="10"/>
      <c r="N110" s="10"/>
      <c r="O110" s="10"/>
    </row>
    <row r="111" spans="1:15" ht="14.25" customHeight="1">
      <c r="A111" s="88" t="s">
        <v>61</v>
      </c>
      <c r="B111" s="484" t="s">
        <v>16</v>
      </c>
      <c r="C111" s="485"/>
      <c r="D111" s="186">
        <f>D112+D113</f>
        <v>4138</v>
      </c>
      <c r="E111" s="123">
        <v>6.383</v>
      </c>
      <c r="F111" s="187">
        <f>H111-G111</f>
        <v>26412.85</v>
      </c>
      <c r="G111" s="188">
        <f>G112+G113</f>
        <v>4754.31</v>
      </c>
      <c r="H111" s="189">
        <f>H112+H113</f>
        <v>31167.16</v>
      </c>
      <c r="I111" s="71"/>
      <c r="J111" s="78"/>
      <c r="K111" s="148"/>
      <c r="L111" s="10"/>
      <c r="M111" s="10"/>
      <c r="N111" s="10"/>
      <c r="O111" s="10"/>
    </row>
    <row r="112" spans="1:15" ht="12.75" customHeight="1">
      <c r="A112" s="88" t="s">
        <v>62</v>
      </c>
      <c r="B112" s="484" t="s">
        <v>44</v>
      </c>
      <c r="C112" s="485"/>
      <c r="D112" s="186">
        <v>490</v>
      </c>
      <c r="E112" s="123">
        <v>6.383</v>
      </c>
      <c r="F112" s="187">
        <f>H112-G112</f>
        <v>3127.67</v>
      </c>
      <c r="G112" s="188">
        <f>H112/6.5555555</f>
        <v>562.98</v>
      </c>
      <c r="H112" s="189">
        <f>D112*E112*1.18</f>
        <v>3690.65</v>
      </c>
      <c r="I112" s="71" t="s">
        <v>213</v>
      </c>
      <c r="J112" s="78"/>
      <c r="K112" s="10"/>
      <c r="L112" s="10"/>
      <c r="M112" s="10"/>
      <c r="N112" s="10"/>
      <c r="O112" s="10"/>
    </row>
    <row r="113" spans="1:15" ht="12.75" customHeight="1">
      <c r="A113" s="88" t="s">
        <v>63</v>
      </c>
      <c r="B113" s="484" t="s">
        <v>37</v>
      </c>
      <c r="C113" s="485"/>
      <c r="D113" s="186">
        <f>D114+D115</f>
        <v>3648</v>
      </c>
      <c r="E113" s="123">
        <v>6.383</v>
      </c>
      <c r="F113" s="187">
        <f>H113-G113</f>
        <v>23285.18</v>
      </c>
      <c r="G113" s="188">
        <f>G115</f>
        <v>4191.33</v>
      </c>
      <c r="H113" s="189">
        <f>H114+H115</f>
        <v>27476.51</v>
      </c>
      <c r="I113" s="71"/>
      <c r="J113" s="78"/>
      <c r="K113" s="10"/>
      <c r="L113" s="10"/>
      <c r="M113" s="10"/>
      <c r="N113" s="10"/>
      <c r="O113" s="10"/>
    </row>
    <row r="114" spans="1:15" ht="14.25" customHeight="1">
      <c r="A114" s="88" t="s">
        <v>64</v>
      </c>
      <c r="B114" s="488" t="s">
        <v>38</v>
      </c>
      <c r="C114" s="489"/>
      <c r="D114" s="186">
        <v>0</v>
      </c>
      <c r="E114" s="123">
        <v>6.383</v>
      </c>
      <c r="F114" s="187">
        <f>D114*E114</f>
        <v>0</v>
      </c>
      <c r="G114" s="188">
        <f>H114-F114</f>
        <v>0</v>
      </c>
      <c r="H114" s="189">
        <f>F114*1.18</f>
        <v>0</v>
      </c>
      <c r="I114" s="71" t="s">
        <v>216</v>
      </c>
      <c r="J114" s="78"/>
      <c r="K114" s="10"/>
      <c r="L114" s="10"/>
      <c r="M114" s="10"/>
      <c r="N114" s="10"/>
      <c r="O114" s="10"/>
    </row>
    <row r="115" spans="1:15" ht="16.5" customHeight="1">
      <c r="A115" s="190" t="s">
        <v>65</v>
      </c>
      <c r="B115" s="442" t="s">
        <v>39</v>
      </c>
      <c r="C115" s="442"/>
      <c r="D115" s="191">
        <f>3411+237</f>
        <v>3648</v>
      </c>
      <c r="E115" s="123">
        <v>6.383</v>
      </c>
      <c r="F115" s="187">
        <f>E115*D115</f>
        <v>23285.18</v>
      </c>
      <c r="G115" s="192">
        <f>H115/6.55555555</f>
        <v>4191.33</v>
      </c>
      <c r="H115" s="189">
        <f>F115*1.18</f>
        <v>27476.51</v>
      </c>
      <c r="I115" s="71"/>
      <c r="J115" s="78"/>
      <c r="K115" s="10"/>
      <c r="L115" s="10"/>
      <c r="M115" s="10"/>
      <c r="N115" s="10"/>
      <c r="O115" s="10"/>
    </row>
    <row r="116" spans="1:10" ht="14.25" customHeight="1">
      <c r="A116" s="190" t="s">
        <v>66</v>
      </c>
      <c r="B116" s="476" t="s">
        <v>50</v>
      </c>
      <c r="C116" s="476"/>
      <c r="D116" s="193">
        <v>7255.252</v>
      </c>
      <c r="E116" s="187">
        <v>2.58</v>
      </c>
      <c r="F116" s="187">
        <f>H116-G116</f>
        <v>15863.18</v>
      </c>
      <c r="G116" s="187">
        <v>2855.37</v>
      </c>
      <c r="H116" s="194">
        <v>18718.55</v>
      </c>
      <c r="I116" s="71"/>
      <c r="J116" s="78"/>
    </row>
    <row r="117" spans="1:10" ht="13.5" customHeight="1">
      <c r="A117" s="190"/>
      <c r="B117" s="476"/>
      <c r="C117" s="476"/>
      <c r="D117" s="193">
        <v>3632.179</v>
      </c>
      <c r="E117" s="187">
        <v>2.63</v>
      </c>
      <c r="F117" s="187">
        <f>H117-G117</f>
        <v>8095.45</v>
      </c>
      <c r="G117" s="187">
        <v>1457.18</v>
      </c>
      <c r="H117" s="194">
        <v>9552.63</v>
      </c>
      <c r="I117" s="71"/>
      <c r="J117" s="78"/>
    </row>
    <row r="118" spans="1:10" ht="12.75" customHeight="1">
      <c r="A118" s="190"/>
      <c r="B118" s="476"/>
      <c r="C118" s="476"/>
      <c r="D118" s="193">
        <v>2150.374</v>
      </c>
      <c r="E118" s="187">
        <v>1.31</v>
      </c>
      <c r="F118" s="187">
        <f>H118-G118</f>
        <v>2387.28</v>
      </c>
      <c r="G118" s="187">
        <v>429.71</v>
      </c>
      <c r="H118" s="194">
        <v>2816.99</v>
      </c>
      <c r="I118" s="71"/>
      <c r="J118" s="78"/>
    </row>
    <row r="119" spans="1:10" ht="16.5" customHeight="1" thickBot="1">
      <c r="A119" s="195" t="s">
        <v>67</v>
      </c>
      <c r="B119" s="494" t="s">
        <v>41</v>
      </c>
      <c r="C119" s="494"/>
      <c r="D119" s="196">
        <f>D116+D118+D117</f>
        <v>13037.805</v>
      </c>
      <c r="E119" s="197"/>
      <c r="F119" s="198">
        <f>H119-G119</f>
        <v>26345.91</v>
      </c>
      <c r="G119" s="199">
        <f>G116+G117+G118</f>
        <v>4742.26</v>
      </c>
      <c r="H119" s="200">
        <f>H116+H117+H118</f>
        <v>31088.17</v>
      </c>
      <c r="I119" s="71"/>
      <c r="J119" s="78"/>
    </row>
    <row r="120" spans="1:10" ht="16.5" customHeight="1" thickBot="1">
      <c r="A120" s="201" t="s">
        <v>68</v>
      </c>
      <c r="B120" s="477" t="s">
        <v>42</v>
      </c>
      <c r="C120" s="477"/>
      <c r="D120" s="202">
        <f>D109+D119</f>
        <v>19088.805</v>
      </c>
      <c r="E120" s="74"/>
      <c r="F120" s="203">
        <f>F109+F119</f>
        <v>64969.44</v>
      </c>
      <c r="G120" s="203">
        <f>G109+G119</f>
        <v>11694.49</v>
      </c>
      <c r="H120" s="204">
        <f>H109+H119</f>
        <v>76663.93</v>
      </c>
      <c r="I120" s="71"/>
      <c r="J120" s="78"/>
    </row>
    <row r="121" spans="1:10" ht="15.75" customHeight="1" thickBot="1">
      <c r="A121" s="269"/>
      <c r="B121" s="490"/>
      <c r="C121" s="491"/>
      <c r="D121" s="491"/>
      <c r="E121" s="491"/>
      <c r="F121" s="491"/>
      <c r="G121" s="491"/>
      <c r="H121" s="492"/>
      <c r="I121" s="71"/>
      <c r="J121" s="78"/>
    </row>
    <row r="122" spans="1:10" ht="15.75" customHeight="1">
      <c r="A122" s="292" t="s">
        <v>118</v>
      </c>
      <c r="B122" s="475" t="s">
        <v>287</v>
      </c>
      <c r="C122" s="475"/>
      <c r="D122" s="293">
        <v>20571.475</v>
      </c>
      <c r="E122" s="87">
        <v>1.81</v>
      </c>
      <c r="F122" s="115">
        <f>H122-G122</f>
        <v>31554.55</v>
      </c>
      <c r="G122" s="116">
        <f>H122/6.5555555</f>
        <v>5679.82</v>
      </c>
      <c r="H122" s="117">
        <f>D122*E122</f>
        <v>37234.37</v>
      </c>
      <c r="I122" s="71">
        <f>D122*6.383</f>
        <v>131307.72</v>
      </c>
      <c r="J122" s="72">
        <f>I122-F122</f>
        <v>99753.17</v>
      </c>
    </row>
    <row r="123" spans="1:10" ht="15.75" customHeight="1">
      <c r="A123" s="190" t="s">
        <v>89</v>
      </c>
      <c r="B123" s="476" t="s">
        <v>287</v>
      </c>
      <c r="C123" s="476"/>
      <c r="D123" s="294">
        <v>22578.848</v>
      </c>
      <c r="E123" s="8">
        <v>1.84</v>
      </c>
      <c r="F123" s="17">
        <f>H123-G123</f>
        <v>35207.69</v>
      </c>
      <c r="G123" s="21">
        <f>H123/6.5555555</f>
        <v>6337.39</v>
      </c>
      <c r="H123" s="118">
        <f>D123*E123</f>
        <v>41545.08</v>
      </c>
      <c r="I123" s="71">
        <f>D123*7.218</f>
        <v>162974.12</v>
      </c>
      <c r="J123" s="72">
        <f>I123-F123</f>
        <v>127766.43</v>
      </c>
    </row>
    <row r="124" spans="1:10" ht="15" customHeight="1" thickBot="1">
      <c r="A124" s="295" t="s">
        <v>119</v>
      </c>
      <c r="B124" s="493" t="s">
        <v>287</v>
      </c>
      <c r="C124" s="493"/>
      <c r="D124" s="296">
        <v>10767.109</v>
      </c>
      <c r="E124" s="155">
        <v>0.92</v>
      </c>
      <c r="F124" s="297">
        <f>H124-G124</f>
        <v>8394.69</v>
      </c>
      <c r="G124" s="298">
        <f>H124/6.5555555</f>
        <v>1511.05</v>
      </c>
      <c r="H124" s="299">
        <f>D124*E124</f>
        <v>9905.74</v>
      </c>
      <c r="I124" s="71">
        <f>D124*4.338</f>
        <v>46707.72</v>
      </c>
      <c r="J124" s="72">
        <f>I124-F124</f>
        <v>38313.03</v>
      </c>
    </row>
    <row r="125" spans="1:10" ht="14.25" customHeight="1" thickBot="1">
      <c r="A125" s="171" t="s">
        <v>117</v>
      </c>
      <c r="B125" s="477" t="s">
        <v>288</v>
      </c>
      <c r="C125" s="477"/>
      <c r="D125" s="202">
        <f>SUM(D122:D124)</f>
        <v>53917.432</v>
      </c>
      <c r="E125" s="74"/>
      <c r="F125" s="75">
        <f>SUM(F122:F124)</f>
        <v>75156.93</v>
      </c>
      <c r="G125" s="76">
        <f>SUM(G122:G124)</f>
        <v>13528.26</v>
      </c>
      <c r="H125" s="77">
        <f>SUM(H122:H124)</f>
        <v>88685.19</v>
      </c>
      <c r="I125" s="71"/>
      <c r="J125" s="78">
        <f>SUM(J122:J124)</f>
        <v>265832.63</v>
      </c>
    </row>
    <row r="126" spans="1:11" ht="27" customHeight="1">
      <c r="A126" s="255" t="s">
        <v>52</v>
      </c>
      <c r="B126" s="518" t="s">
        <v>267</v>
      </c>
      <c r="C126" s="519"/>
      <c r="D126" s="205">
        <f>D125+D27</f>
        <v>10079414.248</v>
      </c>
      <c r="E126" s="206"/>
      <c r="F126" s="207">
        <f>F125+F27</f>
        <v>17537136.65</v>
      </c>
      <c r="G126" s="207">
        <f>G125+G27</f>
        <v>3156684.59</v>
      </c>
      <c r="H126" s="271">
        <f>H125+H27</f>
        <v>20693821.24</v>
      </c>
      <c r="I126" s="71"/>
      <c r="J126" s="78"/>
      <c r="K126" s="244"/>
    </row>
    <row r="127" spans="1:10" ht="24.75" customHeight="1">
      <c r="A127" s="257" t="s">
        <v>53</v>
      </c>
      <c r="B127" s="408" t="s">
        <v>268</v>
      </c>
      <c r="C127" s="409"/>
      <c r="D127" s="208">
        <f>D14</f>
        <v>5410028.515</v>
      </c>
      <c r="E127" s="209"/>
      <c r="F127" s="210">
        <f>F14</f>
        <v>34531875.95</v>
      </c>
      <c r="G127" s="210">
        <f>G14</f>
        <v>6215737.66</v>
      </c>
      <c r="H127" s="272">
        <f>H14</f>
        <v>40747613.61</v>
      </c>
      <c r="I127" s="71"/>
      <c r="J127" s="78">
        <f>H127+H128</f>
        <v>82588559.06</v>
      </c>
    </row>
    <row r="128" spans="1:11" ht="28.5" customHeight="1">
      <c r="A128" s="257" t="s">
        <v>54</v>
      </c>
      <c r="B128" s="408" t="s">
        <v>269</v>
      </c>
      <c r="C128" s="409"/>
      <c r="D128" s="208">
        <f>D13</f>
        <v>5554887.929</v>
      </c>
      <c r="E128" s="209"/>
      <c r="F128" s="210">
        <f>F13</f>
        <v>35458428.4</v>
      </c>
      <c r="G128" s="210">
        <f>G13</f>
        <v>6382517.05</v>
      </c>
      <c r="H128" s="272">
        <f>H13</f>
        <v>41840945.45</v>
      </c>
      <c r="I128" s="71"/>
      <c r="J128" s="78"/>
      <c r="K128" s="148"/>
    </row>
    <row r="129" spans="1:11" ht="28.5" customHeight="1">
      <c r="A129" s="257" t="s">
        <v>55</v>
      </c>
      <c r="B129" s="499" t="s">
        <v>270</v>
      </c>
      <c r="C129" s="500"/>
      <c r="D129" s="211">
        <f>D126+D127+D128</f>
        <v>21044330.692</v>
      </c>
      <c r="E129" s="212"/>
      <c r="F129" s="213">
        <f>F126+F127+F128</f>
        <v>87527441</v>
      </c>
      <c r="G129" s="213">
        <f>G126+G127+G128</f>
        <v>15754939.3</v>
      </c>
      <c r="H129" s="273">
        <f>H126+H127+H128</f>
        <v>103282380.3</v>
      </c>
      <c r="I129" s="71"/>
      <c r="J129" s="291">
        <f>D129+D136</f>
        <v>24402590.692</v>
      </c>
      <c r="K129" s="148"/>
    </row>
    <row r="130" spans="1:11" ht="29.25" customHeight="1">
      <c r="A130" s="257" t="s">
        <v>70</v>
      </c>
      <c r="B130" s="503" t="s">
        <v>273</v>
      </c>
      <c r="C130" s="504"/>
      <c r="D130" s="241">
        <f>D109</f>
        <v>6051</v>
      </c>
      <c r="E130" s="242"/>
      <c r="F130" s="243">
        <f>H130-G130</f>
        <v>38623.53</v>
      </c>
      <c r="G130" s="243">
        <f>G109</f>
        <v>6952.23</v>
      </c>
      <c r="H130" s="274">
        <f>H109</f>
        <v>45575.76</v>
      </c>
      <c r="I130" s="71"/>
      <c r="J130" s="78"/>
      <c r="K130" s="148"/>
    </row>
    <row r="131" spans="1:11" ht="27" customHeight="1">
      <c r="A131" s="257" t="s">
        <v>71</v>
      </c>
      <c r="B131" s="505" t="s">
        <v>274</v>
      </c>
      <c r="C131" s="506"/>
      <c r="D131" s="241">
        <f>D119</f>
        <v>13037.805</v>
      </c>
      <c r="E131" s="242"/>
      <c r="F131" s="243">
        <f>H131-G131</f>
        <v>26345.91</v>
      </c>
      <c r="G131" s="243">
        <f>G119</f>
        <v>4742.26</v>
      </c>
      <c r="H131" s="274">
        <f>H119</f>
        <v>31088.17</v>
      </c>
      <c r="I131" s="71"/>
      <c r="J131" s="78"/>
      <c r="K131" s="148"/>
    </row>
    <row r="132" spans="1:11" ht="27" customHeight="1">
      <c r="A132" s="280"/>
      <c r="B132" s="510" t="s">
        <v>280</v>
      </c>
      <c r="C132" s="510"/>
      <c r="D132" s="281">
        <f>D126+D131</f>
        <v>10092452.053</v>
      </c>
      <c r="E132" s="282"/>
      <c r="F132" s="283">
        <f>H132-G132</f>
        <v>17563482.56</v>
      </c>
      <c r="G132" s="283">
        <f>G126+G131</f>
        <v>3161426.85</v>
      </c>
      <c r="H132" s="284">
        <f>H126+H131</f>
        <v>20724909.41</v>
      </c>
      <c r="I132" s="71"/>
      <c r="J132" s="78"/>
      <c r="K132" s="148"/>
    </row>
    <row r="133" spans="1:11" ht="27" customHeight="1">
      <c r="A133" s="280"/>
      <c r="B133" s="510" t="s">
        <v>281</v>
      </c>
      <c r="C133" s="510"/>
      <c r="D133" s="281">
        <f>D14+D111</f>
        <v>5414166.515</v>
      </c>
      <c r="E133" s="282"/>
      <c r="F133" s="283">
        <f>H133-G133</f>
        <v>34558288.8</v>
      </c>
      <c r="G133" s="283">
        <f>G14+G111</f>
        <v>6220491.97</v>
      </c>
      <c r="H133" s="284">
        <f>H14+H111</f>
        <v>40778780.77</v>
      </c>
      <c r="I133" s="71"/>
      <c r="J133" s="78"/>
      <c r="K133" s="148"/>
    </row>
    <row r="134" spans="1:11" ht="27" customHeight="1">
      <c r="A134" s="280"/>
      <c r="B134" s="510" t="s">
        <v>282</v>
      </c>
      <c r="C134" s="510"/>
      <c r="D134" s="281">
        <f>D13+D110</f>
        <v>5556800.929</v>
      </c>
      <c r="E134" s="282"/>
      <c r="F134" s="283">
        <f>H134-G134</f>
        <v>35470639.08</v>
      </c>
      <c r="G134" s="283">
        <f>G13+G110</f>
        <v>6384714.97</v>
      </c>
      <c r="H134" s="284">
        <f>H13+H110</f>
        <v>41855354.05</v>
      </c>
      <c r="I134" s="71"/>
      <c r="J134" s="78"/>
      <c r="K134" s="148"/>
    </row>
    <row r="135" spans="1:11" ht="25.5" customHeight="1" thickBot="1">
      <c r="A135" s="257" t="s">
        <v>271</v>
      </c>
      <c r="B135" s="507" t="s">
        <v>286</v>
      </c>
      <c r="C135" s="508"/>
      <c r="D135" s="245">
        <f>D126+D127+D128+D130+D131</f>
        <v>21063419.497</v>
      </c>
      <c r="E135" s="246"/>
      <c r="F135" s="247">
        <f>F126+F127+F128+F130+F131</f>
        <v>87592410.44</v>
      </c>
      <c r="G135" s="247">
        <f>G126+G127+G128+G130+G131</f>
        <v>15766633.79</v>
      </c>
      <c r="H135" s="248">
        <f>H126+H127+H128+H130+H131</f>
        <v>103359044.23</v>
      </c>
      <c r="I135" s="71"/>
      <c r="J135" s="78"/>
      <c r="K135" s="148"/>
    </row>
    <row r="136" spans="1:12" ht="18.75" customHeight="1">
      <c r="A136" s="275" t="s">
        <v>272</v>
      </c>
      <c r="B136" s="522" t="s">
        <v>43</v>
      </c>
      <c r="C136" s="523"/>
      <c r="D136" s="214">
        <v>3358260</v>
      </c>
      <c r="E136" s="215"/>
      <c r="F136" s="216"/>
      <c r="G136" s="216"/>
      <c r="H136" s="276"/>
      <c r="I136" s="71"/>
      <c r="J136" s="78"/>
      <c r="K136" s="12"/>
      <c r="L136" s="12"/>
    </row>
    <row r="137" spans="1:12" ht="27" customHeight="1">
      <c r="A137" s="277" t="s">
        <v>276</v>
      </c>
      <c r="B137" s="509" t="s">
        <v>275</v>
      </c>
      <c r="C137" s="509"/>
      <c r="D137" s="249">
        <v>3862</v>
      </c>
      <c r="E137" s="250"/>
      <c r="F137" s="251"/>
      <c r="G137" s="251"/>
      <c r="H137" s="278"/>
      <c r="I137" s="71"/>
      <c r="J137" s="78"/>
      <c r="K137" s="12"/>
      <c r="L137" s="12"/>
    </row>
    <row r="138" spans="1:12" ht="27" customHeight="1">
      <c r="A138" s="277" t="s">
        <v>277</v>
      </c>
      <c r="B138" s="509" t="s">
        <v>283</v>
      </c>
      <c r="C138" s="509"/>
      <c r="D138" s="249">
        <v>10829682.308</v>
      </c>
      <c r="E138" s="250">
        <v>3.938</v>
      </c>
      <c r="F138" s="251"/>
      <c r="G138" s="251"/>
      <c r="H138" s="278"/>
      <c r="I138" s="279">
        <f>D135+D138</f>
        <v>31893101.805</v>
      </c>
      <c r="J138" s="78"/>
      <c r="K138" s="290">
        <f>D129+D136+D137</f>
        <v>24406452.692</v>
      </c>
      <c r="L138" s="12"/>
    </row>
    <row r="139" spans="1:12" ht="27" customHeight="1">
      <c r="A139" s="277" t="s">
        <v>278</v>
      </c>
      <c r="B139" s="501" t="s">
        <v>284</v>
      </c>
      <c r="C139" s="502"/>
      <c r="D139" s="249">
        <f>14272.195+5957</f>
        <v>20229.195</v>
      </c>
      <c r="E139" s="250"/>
      <c r="F139" s="251"/>
      <c r="G139" s="251"/>
      <c r="H139" s="278"/>
      <c r="I139" s="279"/>
      <c r="J139" s="78"/>
      <c r="K139" s="12"/>
      <c r="L139" s="12"/>
    </row>
    <row r="140" spans="1:10" ht="27.75" customHeight="1" thickBot="1">
      <c r="A140" s="285" t="s">
        <v>285</v>
      </c>
      <c r="B140" s="514" t="s">
        <v>279</v>
      </c>
      <c r="C140" s="514"/>
      <c r="D140" s="286">
        <f>D127+D128+D136+D126+D130+D131+D137+D138+D139</f>
        <v>35275453</v>
      </c>
      <c r="E140" s="287"/>
      <c r="F140" s="288">
        <f>F127+F128+F126+F130+F131+F138</f>
        <v>87592410.44</v>
      </c>
      <c r="G140" s="288">
        <f>G127+G128+G126+G130+G131+G138</f>
        <v>15766633.79</v>
      </c>
      <c r="H140" s="289">
        <f>H127+H128+H126+H130+H131+H138</f>
        <v>103359044.23</v>
      </c>
      <c r="I140" s="71"/>
      <c r="J140" s="78">
        <f>H140-G140</f>
        <v>87592410.44</v>
      </c>
    </row>
    <row r="141" spans="1:10" ht="27.75" customHeight="1">
      <c r="A141" s="217"/>
      <c r="B141" s="218"/>
      <c r="C141" s="218"/>
      <c r="D141" s="219"/>
      <c r="E141" s="219"/>
      <c r="F141" s="220"/>
      <c r="G141" s="220"/>
      <c r="H141" s="220"/>
      <c r="I141" s="71"/>
      <c r="J141" s="78"/>
    </row>
    <row r="142" spans="1:10" ht="23.25" customHeight="1">
      <c r="A142" s="217"/>
      <c r="B142" s="218"/>
      <c r="C142" s="218"/>
      <c r="D142" s="219"/>
      <c r="E142" s="219"/>
      <c r="F142" s="220"/>
      <c r="G142" s="220"/>
      <c r="H142" s="220"/>
      <c r="I142" s="71"/>
      <c r="J142" s="78"/>
    </row>
    <row r="143" spans="1:9" ht="12.75" customHeight="1">
      <c r="A143" s="460" t="s">
        <v>217</v>
      </c>
      <c r="B143" s="460"/>
      <c r="C143" s="460"/>
      <c r="D143" s="460"/>
      <c r="E143" s="5"/>
      <c r="F143" s="5"/>
      <c r="G143" s="6" t="s">
        <v>218</v>
      </c>
      <c r="I143" s="6"/>
    </row>
    <row r="144" spans="1:9" ht="12.75" customHeight="1">
      <c r="A144" s="217"/>
      <c r="B144" s="221"/>
      <c r="C144" s="221"/>
      <c r="D144" s="222"/>
      <c r="E144" s="5"/>
      <c r="F144" s="5"/>
      <c r="I144" s="6"/>
    </row>
    <row r="145" spans="1:9" ht="12.75">
      <c r="A145" s="223"/>
      <c r="B145" s="221"/>
      <c r="C145" s="221"/>
      <c r="D145" s="222"/>
      <c r="E145" s="5"/>
      <c r="F145" s="5"/>
      <c r="I145" s="6"/>
    </row>
    <row r="146" spans="1:9" ht="12.75">
      <c r="A146" s="223"/>
      <c r="B146" s="224"/>
      <c r="C146" s="224"/>
      <c r="D146" s="5"/>
      <c r="E146" s="5"/>
      <c r="F146" s="5"/>
      <c r="I146" s="6"/>
    </row>
    <row r="147" spans="1:9" ht="16.5" customHeight="1">
      <c r="A147" s="223"/>
      <c r="B147" s="460" t="s">
        <v>264</v>
      </c>
      <c r="C147" s="460"/>
      <c r="D147" s="162"/>
      <c r="E147" s="5"/>
      <c r="F147" s="5"/>
      <c r="G147" s="6" t="s">
        <v>265</v>
      </c>
      <c r="I147" s="6"/>
    </row>
    <row r="148" spans="1:9" ht="16.5" customHeight="1">
      <c r="A148" s="223"/>
      <c r="B148" s="221"/>
      <c r="C148" s="221"/>
      <c r="D148" s="5"/>
      <c r="E148" s="5"/>
      <c r="F148" s="5"/>
      <c r="I148" s="6"/>
    </row>
    <row r="149" spans="1:9" ht="16.5" customHeight="1">
      <c r="A149" s="223"/>
      <c r="B149" s="221"/>
      <c r="C149" s="221"/>
      <c r="D149" s="5"/>
      <c r="E149" s="5"/>
      <c r="F149" s="5"/>
      <c r="I149" s="6"/>
    </row>
    <row r="150" spans="1:9" ht="12" customHeight="1">
      <c r="A150" s="225" t="s">
        <v>45</v>
      </c>
      <c r="B150" s="135"/>
      <c r="C150" s="135"/>
      <c r="I150" s="12"/>
    </row>
    <row r="151" spans="1:9" ht="12.75">
      <c r="A151" s="225" t="s">
        <v>262</v>
      </c>
      <c r="B151" s="226"/>
      <c r="C151" s="226"/>
      <c r="D151" s="5"/>
      <c r="E151" s="5"/>
      <c r="F151" s="5"/>
      <c r="I151" s="6"/>
    </row>
    <row r="152" spans="1:10" ht="12.75">
      <c r="A152" s="137" t="s">
        <v>261</v>
      </c>
      <c r="B152" s="135"/>
      <c r="C152" s="227"/>
      <c r="D152" s="227"/>
      <c r="E152" s="228"/>
      <c r="F152" s="5"/>
      <c r="I152" s="6"/>
      <c r="J152" s="12"/>
    </row>
    <row r="153" spans="1:9" ht="12.75">
      <c r="A153" s="223"/>
      <c r="D153" s="5"/>
      <c r="E153" s="5"/>
      <c r="F153" s="137"/>
      <c r="H153" s="137"/>
      <c r="I153" s="6"/>
    </row>
    <row r="154" spans="1:9" ht="12.75">
      <c r="A154" s="223"/>
      <c r="D154" s="5"/>
      <c r="E154" s="5"/>
      <c r="F154" s="137"/>
      <c r="H154" s="137"/>
      <c r="I154" s="6"/>
    </row>
    <row r="155" spans="1:9" ht="12.75">
      <c r="A155" s="223"/>
      <c r="B155" s="229"/>
      <c r="C155" s="229"/>
      <c r="D155" s="5"/>
      <c r="E155" s="5"/>
      <c r="F155" s="137"/>
      <c r="H155" s="137"/>
      <c r="I155" s="6"/>
    </row>
    <row r="156" spans="1:9" ht="12.75">
      <c r="A156" s="223"/>
      <c r="B156" s="229"/>
      <c r="C156" s="229"/>
      <c r="D156" s="5"/>
      <c r="E156" s="5"/>
      <c r="F156" s="137"/>
      <c r="H156" s="137"/>
      <c r="I156" s="6"/>
    </row>
    <row r="157" spans="1:9" ht="12.75">
      <c r="A157" s="223"/>
      <c r="B157" s="229"/>
      <c r="C157" s="229"/>
      <c r="D157" s="5"/>
      <c r="E157" s="5"/>
      <c r="F157" s="230"/>
      <c r="G157" s="230"/>
      <c r="H157" s="230"/>
      <c r="I157" s="6"/>
    </row>
    <row r="158" spans="4:9" ht="12.75">
      <c r="D158" s="5"/>
      <c r="E158" s="5"/>
      <c r="F158" s="230"/>
      <c r="G158" s="230"/>
      <c r="H158" s="230"/>
      <c r="I158" s="6"/>
    </row>
    <row r="159" spans="1:9" ht="12.75">
      <c r="A159" s="223"/>
      <c r="B159" s="229"/>
      <c r="C159" s="229"/>
      <c r="D159" s="5"/>
      <c r="E159" s="5"/>
      <c r="F159" s="230"/>
      <c r="G159" s="230"/>
      <c r="H159" s="230"/>
      <c r="I159" s="6"/>
    </row>
    <row r="160" spans="1:9" ht="12.75">
      <c r="A160" s="223"/>
      <c r="B160" s="5"/>
      <c r="C160" s="5"/>
      <c r="D160" s="5"/>
      <c r="E160" s="5"/>
      <c r="F160" s="5"/>
      <c r="I160" s="6"/>
    </row>
    <row r="161" spans="1:9" ht="12.75">
      <c r="A161" s="223"/>
      <c r="B161" s="137"/>
      <c r="C161" s="137"/>
      <c r="D161" s="137"/>
      <c r="E161" s="137"/>
      <c r="F161" s="5"/>
      <c r="I161" s="6"/>
    </row>
    <row r="162" spans="1:9" ht="12.75">
      <c r="A162" s="223"/>
      <c r="B162" s="231"/>
      <c r="C162" s="231"/>
      <c r="D162" s="5"/>
      <c r="E162" s="5"/>
      <c r="F162" s="5"/>
      <c r="I162" s="6"/>
    </row>
    <row r="163" spans="1:9" ht="12.75">
      <c r="A163" s="223"/>
      <c r="B163" s="5"/>
      <c r="C163" s="5"/>
      <c r="D163" s="5"/>
      <c r="E163" s="5"/>
      <c r="F163" s="5"/>
      <c r="I163" s="6"/>
    </row>
    <row r="164" spans="1:9" ht="12.75">
      <c r="A164" s="223"/>
      <c r="B164" s="5"/>
      <c r="C164" s="5"/>
      <c r="D164" s="5"/>
      <c r="E164" s="5"/>
      <c r="F164" s="5"/>
      <c r="I164" s="6"/>
    </row>
    <row r="165" spans="1:9" ht="12.75">
      <c r="A165" s="223"/>
      <c r="B165" s="5"/>
      <c r="C165" s="5"/>
      <c r="D165" s="5"/>
      <c r="E165" s="5"/>
      <c r="F165" s="5"/>
      <c r="I165" s="6"/>
    </row>
    <row r="166" spans="1:9" ht="12.75">
      <c r="A166" s="223"/>
      <c r="B166" s="5"/>
      <c r="C166" s="5"/>
      <c r="D166" s="5"/>
      <c r="E166" s="5"/>
      <c r="F166" s="5"/>
      <c r="I166" s="12"/>
    </row>
    <row r="167" spans="1:9" ht="12.75">
      <c r="A167" s="128"/>
      <c r="I167" s="6"/>
    </row>
    <row r="168" spans="1:9" ht="12.75">
      <c r="A168" s="128"/>
      <c r="I168" s="6"/>
    </row>
    <row r="169" spans="1:9" ht="12.75">
      <c r="A169" s="128"/>
      <c r="I169" s="6"/>
    </row>
    <row r="170" spans="1:9" ht="12.75">
      <c r="A170" s="128"/>
      <c r="I170" s="6"/>
    </row>
    <row r="171" spans="1:9" ht="12.75">
      <c r="A171" s="128"/>
      <c r="I171" s="6"/>
    </row>
    <row r="172" spans="1:9" ht="12.75">
      <c r="A172" s="128"/>
      <c r="I172" s="6"/>
    </row>
    <row r="173" spans="1:9" ht="12.75">
      <c r="A173" s="128"/>
      <c r="I173" s="6"/>
    </row>
    <row r="174" spans="1:9" ht="12.75">
      <c r="A174" s="128"/>
      <c r="I174" s="6"/>
    </row>
    <row r="175" spans="1:9" ht="12.75">
      <c r="A175" s="128"/>
      <c r="I175" s="6"/>
    </row>
    <row r="176" spans="1:9" ht="12.75">
      <c r="A176" s="128"/>
      <c r="I176" s="6"/>
    </row>
    <row r="177" spans="1:9" ht="12.75">
      <c r="A177" s="128"/>
      <c r="I177" s="6"/>
    </row>
    <row r="178" spans="1:9" ht="12.75">
      <c r="A178" s="128"/>
      <c r="I178" s="6"/>
    </row>
    <row r="179" spans="1:9" ht="12.75">
      <c r="A179" s="128"/>
      <c r="I179" s="6"/>
    </row>
    <row r="180" spans="1:9" ht="12.75">
      <c r="A180" s="128"/>
      <c r="I180" s="6"/>
    </row>
    <row r="181" spans="1:9" ht="12.75">
      <c r="A181" s="128"/>
      <c r="I181" s="6"/>
    </row>
    <row r="182" spans="1:9" ht="12.75">
      <c r="A182" s="128"/>
      <c r="I182" s="6"/>
    </row>
    <row r="183" spans="1:9" ht="12.75">
      <c r="A183" s="128"/>
      <c r="I183" s="6"/>
    </row>
    <row r="184" spans="1:9" ht="12.75">
      <c r="A184" s="128"/>
      <c r="I184" s="6"/>
    </row>
    <row r="185" spans="1:9" ht="12.75">
      <c r="A185" s="128"/>
      <c r="I185" s="6"/>
    </row>
    <row r="186" spans="1:9" ht="12.75">
      <c r="A186" s="128"/>
      <c r="I186" s="6"/>
    </row>
    <row r="187" spans="1:9" ht="12.75">
      <c r="A187" s="128"/>
      <c r="I187" s="6"/>
    </row>
    <row r="188" spans="1:9" ht="12.75">
      <c r="A188" s="128"/>
      <c r="I188" s="6"/>
    </row>
    <row r="189" spans="1:9" ht="12.75">
      <c r="A189" s="128"/>
      <c r="I189" s="6"/>
    </row>
    <row r="190" spans="1:9" ht="12.75">
      <c r="A190" s="128"/>
      <c r="I190" s="6"/>
    </row>
    <row r="191" spans="1:9" ht="12.75">
      <c r="A191" s="128"/>
      <c r="I191" s="6"/>
    </row>
    <row r="192" spans="1:9" ht="12.75">
      <c r="A192" s="128"/>
      <c r="I192" s="6"/>
    </row>
    <row r="193" spans="1:9" ht="12.75">
      <c r="A193" s="128"/>
      <c r="I193" s="6"/>
    </row>
    <row r="194" spans="1:9" ht="12.75">
      <c r="A194" s="128"/>
      <c r="I194" s="6"/>
    </row>
    <row r="195" spans="1:9" ht="12.75">
      <c r="A195" s="128"/>
      <c r="I195" s="6"/>
    </row>
    <row r="196" spans="1:9" ht="12.75">
      <c r="A196" s="128"/>
      <c r="I196" s="6"/>
    </row>
    <row r="197" spans="1:9" ht="12.75">
      <c r="A197" s="128"/>
      <c r="I197" s="6"/>
    </row>
    <row r="198" spans="1:9" ht="12.75">
      <c r="A198" s="128"/>
      <c r="I198" s="6"/>
    </row>
    <row r="199" spans="1:9" ht="12.75">
      <c r="A199" s="128"/>
      <c r="I199" s="6"/>
    </row>
    <row r="200" spans="1:9" ht="12.75">
      <c r="A200" s="128"/>
      <c r="I200" s="6"/>
    </row>
    <row r="201" spans="1:9" ht="12.75">
      <c r="A201" s="128"/>
      <c r="I201" s="6"/>
    </row>
    <row r="202" spans="1:9" ht="12.75">
      <c r="A202" s="128"/>
      <c r="I202" s="6"/>
    </row>
    <row r="203" spans="1:9" ht="12.75">
      <c r="A203" s="128"/>
      <c r="I203" s="6"/>
    </row>
    <row r="204" spans="1:9" ht="12.75">
      <c r="A204" s="128"/>
      <c r="I204" s="6"/>
    </row>
    <row r="205" spans="1:9" ht="12.75">
      <c r="A205" s="128"/>
      <c r="I205" s="6"/>
    </row>
    <row r="206" spans="1:9" ht="12.75">
      <c r="A206" s="128"/>
      <c r="I206" s="6"/>
    </row>
    <row r="207" spans="1:9" ht="12.75">
      <c r="A207" s="128"/>
      <c r="I207" s="6"/>
    </row>
    <row r="208" spans="1:9" ht="12.75">
      <c r="A208" s="128"/>
      <c r="I208" s="6"/>
    </row>
    <row r="209" spans="1:9" ht="12.75">
      <c r="A209" s="128"/>
      <c r="I209" s="6"/>
    </row>
    <row r="210" spans="1:9" ht="12.75">
      <c r="A210" s="128"/>
      <c r="I210" s="6"/>
    </row>
    <row r="211" spans="1:9" ht="12.75">
      <c r="A211" s="128"/>
      <c r="I211" s="6"/>
    </row>
    <row r="212" spans="1:9" ht="12.75">
      <c r="A212" s="128"/>
      <c r="I212" s="6"/>
    </row>
    <row r="213" spans="1:9" ht="12.75">
      <c r="A213" s="128"/>
      <c r="I213" s="6"/>
    </row>
    <row r="214" spans="1:9" ht="12.75">
      <c r="A214" s="128"/>
      <c r="I214" s="6"/>
    </row>
    <row r="215" spans="1:9" ht="12.75">
      <c r="A215" s="128"/>
      <c r="I215" s="6"/>
    </row>
    <row r="216" spans="1:9" ht="12.75">
      <c r="A216" s="128"/>
      <c r="I216" s="6"/>
    </row>
    <row r="217" spans="1:9" ht="12.75">
      <c r="A217" s="128"/>
      <c r="I217" s="6"/>
    </row>
    <row r="218" spans="1:9" ht="12.75">
      <c r="A218" s="128"/>
      <c r="I218" s="6"/>
    </row>
    <row r="219" spans="1:9" ht="12.75">
      <c r="A219" s="128"/>
      <c r="I219" s="6"/>
    </row>
    <row r="220" spans="1:9" ht="12.75">
      <c r="A220" s="128"/>
      <c r="I220" s="6"/>
    </row>
    <row r="221" spans="1:9" ht="12.75">
      <c r="A221" s="128"/>
      <c r="I221" s="6"/>
    </row>
    <row r="222" spans="1:9" ht="12.75">
      <c r="A222" s="128"/>
      <c r="I222" s="6"/>
    </row>
    <row r="223" spans="1:9" ht="12.75">
      <c r="A223" s="128"/>
      <c r="I223" s="6"/>
    </row>
    <row r="224" spans="1:9" ht="12.75">
      <c r="A224" s="128"/>
      <c r="I224" s="6"/>
    </row>
    <row r="225" spans="1:9" ht="12.75">
      <c r="A225" s="128"/>
      <c r="I225" s="6"/>
    </row>
    <row r="226" spans="1:9" ht="12.75">
      <c r="A226" s="128"/>
      <c r="I226" s="6"/>
    </row>
    <row r="227" spans="1:9" ht="12.75">
      <c r="A227" s="128"/>
      <c r="I227" s="6"/>
    </row>
    <row r="228" spans="1:9" ht="12.75">
      <c r="A228" s="128"/>
      <c r="I228" s="6"/>
    </row>
    <row r="229" spans="1:9" ht="12.75">
      <c r="A229" s="128"/>
      <c r="I229" s="6"/>
    </row>
    <row r="230" spans="1:9" ht="12.75">
      <c r="A230" s="128"/>
      <c r="I230" s="6"/>
    </row>
    <row r="231" spans="1:9" ht="12.75">
      <c r="A231" s="128"/>
      <c r="I231" s="6"/>
    </row>
    <row r="232" spans="1:9" ht="12.75">
      <c r="A232" s="128"/>
      <c r="I232" s="6"/>
    </row>
    <row r="233" spans="1:9" ht="12.75">
      <c r="A233" s="128"/>
      <c r="I233" s="6"/>
    </row>
    <row r="234" spans="1:9" ht="12.75">
      <c r="A234" s="128"/>
      <c r="I234" s="6"/>
    </row>
    <row r="235" spans="1:9" ht="12.75">
      <c r="A235" s="128"/>
      <c r="I235" s="6"/>
    </row>
    <row r="236" spans="1:9" ht="12.75">
      <c r="A236" s="128"/>
      <c r="I236" s="6"/>
    </row>
    <row r="237" spans="1:9" ht="12.75">
      <c r="A237" s="128"/>
      <c r="I237" s="6"/>
    </row>
    <row r="238" spans="1:9" ht="12.75">
      <c r="A238" s="128"/>
      <c r="I238" s="6"/>
    </row>
    <row r="239" spans="1:9" ht="12.75">
      <c r="A239" s="128"/>
      <c r="I239" s="6"/>
    </row>
    <row r="240" spans="1:9" ht="12.75">
      <c r="A240" s="128"/>
      <c r="I240" s="6"/>
    </row>
    <row r="241" spans="1:9" ht="12.75">
      <c r="A241" s="128"/>
      <c r="I241" s="6"/>
    </row>
    <row r="242" spans="1:9" ht="12.75">
      <c r="A242" s="128"/>
      <c r="I242" s="6"/>
    </row>
    <row r="243" spans="1:9" ht="12.75">
      <c r="A243" s="128"/>
      <c r="I243" s="6"/>
    </row>
  </sheetData>
  <sheetProtection/>
  <mergeCells count="88">
    <mergeCell ref="S30:S37"/>
    <mergeCell ref="T30:T37"/>
    <mergeCell ref="U30:U37"/>
    <mergeCell ref="V30:V37"/>
    <mergeCell ref="B17:C17"/>
    <mergeCell ref="B19:C19"/>
    <mergeCell ref="B20:C20"/>
    <mergeCell ref="C32:C33"/>
    <mergeCell ref="B21:C21"/>
    <mergeCell ref="A32:A33"/>
    <mergeCell ref="B22:C22"/>
    <mergeCell ref="A34:A35"/>
    <mergeCell ref="B115:C115"/>
    <mergeCell ref="B18:C18"/>
    <mergeCell ref="B13:C13"/>
    <mergeCell ref="B108:C108"/>
    <mergeCell ref="C100:C105"/>
    <mergeCell ref="B111:C111"/>
    <mergeCell ref="B109:C109"/>
    <mergeCell ref="C40:C42"/>
    <mergeCell ref="B61:B63"/>
    <mergeCell ref="C61:C63"/>
    <mergeCell ref="B32:B33"/>
    <mergeCell ref="F1:G1"/>
    <mergeCell ref="A10:A11"/>
    <mergeCell ref="B15:C15"/>
    <mergeCell ref="B16:C16"/>
    <mergeCell ref="B29:C29"/>
    <mergeCell ref="B14:C14"/>
    <mergeCell ref="B9:H9"/>
    <mergeCell ref="B10:C11"/>
    <mergeCell ref="B12:C12"/>
    <mergeCell ref="F2:H2"/>
    <mergeCell ref="K40:K41"/>
    <mergeCell ref="C49:C54"/>
    <mergeCell ref="C43:C48"/>
    <mergeCell ref="B24:C24"/>
    <mergeCell ref="B23:C23"/>
    <mergeCell ref="B31:C31"/>
    <mergeCell ref="A143:D143"/>
    <mergeCell ref="C76:C81"/>
    <mergeCell ref="C67:C69"/>
    <mergeCell ref="C88:C93"/>
    <mergeCell ref="B136:C136"/>
    <mergeCell ref="B128:C128"/>
    <mergeCell ref="B124:C124"/>
    <mergeCell ref="B122:C122"/>
    <mergeCell ref="B127:C127"/>
    <mergeCell ref="B120:C120"/>
    <mergeCell ref="B140:C140"/>
    <mergeCell ref="B123:C123"/>
    <mergeCell ref="B34:B35"/>
    <mergeCell ref="C34:C35"/>
    <mergeCell ref="B129:C129"/>
    <mergeCell ref="B147:C147"/>
    <mergeCell ref="B125:C125"/>
    <mergeCell ref="B126:C126"/>
    <mergeCell ref="C57:C60"/>
    <mergeCell ref="C70:C75"/>
    <mergeCell ref="B117:C117"/>
    <mergeCell ref="B118:C118"/>
    <mergeCell ref="C55:C56"/>
    <mergeCell ref="B27:C27"/>
    <mergeCell ref="B28:C28"/>
    <mergeCell ref="C36:C39"/>
    <mergeCell ref="B30:C30"/>
    <mergeCell ref="B110:C110"/>
    <mergeCell ref="C94:C99"/>
    <mergeCell ref="B114:C114"/>
    <mergeCell ref="B65:B66"/>
    <mergeCell ref="B112:C112"/>
    <mergeCell ref="A61:A63"/>
    <mergeCell ref="B113:C113"/>
    <mergeCell ref="C82:C87"/>
    <mergeCell ref="B121:H121"/>
    <mergeCell ref="B119:C119"/>
    <mergeCell ref="C65:C66"/>
    <mergeCell ref="B116:C116"/>
    <mergeCell ref="A65:A66"/>
    <mergeCell ref="B139:C139"/>
    <mergeCell ref="B130:C130"/>
    <mergeCell ref="B131:C131"/>
    <mergeCell ref="B135:C135"/>
    <mergeCell ref="B137:C137"/>
    <mergeCell ref="B138:C138"/>
    <mergeCell ref="B132:C132"/>
    <mergeCell ref="B133:C133"/>
    <mergeCell ref="B134:C134"/>
  </mergeCells>
  <printOptions/>
  <pageMargins left="0.15748031496062992" right="0.1968503937007874" top="0.15748031496062992" bottom="0.15748031496062992" header="0.15748031496062992" footer="0.15748031496062992"/>
  <pageSetup horizontalDpi="300" verticalDpi="300" orientation="portrait" paperSize="9" scale="93" r:id="rId1"/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N18" sqref="N18"/>
    </sheetView>
  </sheetViews>
  <sheetFormatPr defaultColWidth="9.140625" defaultRowHeight="26.25" customHeight="1"/>
  <cols>
    <col min="1" max="1" width="38.00390625" style="0" customWidth="1"/>
    <col min="2" max="2" width="12.28125" style="0" customWidth="1"/>
    <col min="3" max="3" width="12.140625" style="0" customWidth="1"/>
    <col min="4" max="4" width="12.7109375" style="0" customWidth="1"/>
  </cols>
  <sheetData>
    <row r="1" spans="1:4" ht="26.25" customHeight="1">
      <c r="A1" s="104" t="s">
        <v>221</v>
      </c>
      <c r="B1" s="530" t="s">
        <v>222</v>
      </c>
      <c r="C1" s="530" t="s">
        <v>223</v>
      </c>
      <c r="D1" s="530" t="s">
        <v>7</v>
      </c>
    </row>
    <row r="2" spans="1:4" ht="26.25" customHeight="1">
      <c r="A2" s="104" t="s">
        <v>224</v>
      </c>
      <c r="B2" s="530"/>
      <c r="C2" s="530"/>
      <c r="D2" s="530"/>
    </row>
    <row r="3" spans="1:4" ht="26.25" customHeight="1">
      <c r="A3" s="105"/>
      <c r="B3" s="105"/>
      <c r="C3" s="105"/>
      <c r="D3" s="105"/>
    </row>
    <row r="4" spans="1:4" ht="26.25" customHeight="1">
      <c r="A4" s="104" t="s">
        <v>225</v>
      </c>
      <c r="B4" s="106">
        <v>1845</v>
      </c>
      <c r="C4" s="107">
        <v>4760.1</v>
      </c>
      <c r="D4" s="108">
        <v>726.12</v>
      </c>
    </row>
    <row r="5" spans="1:4" ht="26.25" customHeight="1">
      <c r="A5" s="109" t="s">
        <v>226</v>
      </c>
      <c r="B5" s="110">
        <v>1845</v>
      </c>
      <c r="C5" s="111">
        <v>4760.1</v>
      </c>
      <c r="D5" s="112">
        <v>726.12</v>
      </c>
    </row>
    <row r="6" spans="1:4" ht="26.25" customHeight="1">
      <c r="A6" s="105"/>
      <c r="B6" s="105"/>
      <c r="C6" s="105"/>
      <c r="D6" s="105"/>
    </row>
    <row r="7" spans="1:4" ht="26.25" customHeight="1">
      <c r="A7" s="104" t="s">
        <v>227</v>
      </c>
      <c r="B7" s="113">
        <v>240</v>
      </c>
      <c r="C7" s="108">
        <v>619.2</v>
      </c>
      <c r="D7" s="108">
        <v>94.45</v>
      </c>
    </row>
    <row r="8" spans="1:4" ht="26.25" customHeight="1">
      <c r="A8" s="109" t="s">
        <v>226</v>
      </c>
      <c r="B8" s="114">
        <v>240</v>
      </c>
      <c r="C8" s="112">
        <v>619.2</v>
      </c>
      <c r="D8" s="112">
        <v>94.45</v>
      </c>
    </row>
    <row r="9" spans="1:4" ht="26.25" customHeight="1">
      <c r="A9" s="105"/>
      <c r="B9" s="105"/>
      <c r="C9" s="105"/>
      <c r="D9" s="105"/>
    </row>
    <row r="10" spans="1:4" ht="26.25" customHeight="1">
      <c r="A10" s="104" t="s">
        <v>228</v>
      </c>
      <c r="B10" s="113">
        <v>200</v>
      </c>
      <c r="C10" s="108">
        <v>516</v>
      </c>
      <c r="D10" s="108">
        <v>78.71</v>
      </c>
    </row>
    <row r="11" spans="1:4" ht="26.25" customHeight="1">
      <c r="A11" s="109" t="s">
        <v>226</v>
      </c>
      <c r="B11" s="114">
        <v>200</v>
      </c>
      <c r="C11" s="112">
        <v>516</v>
      </c>
      <c r="D11" s="112">
        <v>78.71</v>
      </c>
    </row>
    <row r="12" spans="1:4" ht="26.25" customHeight="1">
      <c r="A12" s="105"/>
      <c r="B12" s="105"/>
      <c r="C12" s="105"/>
      <c r="D12" s="105"/>
    </row>
    <row r="13" spans="1:4" ht="26.25" customHeight="1">
      <c r="A13" s="104" t="s">
        <v>229</v>
      </c>
      <c r="B13" s="113">
        <v>491</v>
      </c>
      <c r="C13" s="107">
        <v>1081.45</v>
      </c>
      <c r="D13" s="108">
        <v>164.96</v>
      </c>
    </row>
    <row r="14" spans="1:4" ht="26.25" customHeight="1">
      <c r="A14" s="109" t="s">
        <v>230</v>
      </c>
      <c r="B14" s="114">
        <v>159</v>
      </c>
      <c r="C14" s="112">
        <v>208.29</v>
      </c>
      <c r="D14" s="112">
        <v>31.77</v>
      </c>
    </row>
    <row r="15" spans="1:4" ht="26.25" customHeight="1">
      <c r="A15" s="109" t="s">
        <v>231</v>
      </c>
      <c r="B15" s="114">
        <v>332</v>
      </c>
      <c r="C15" s="112">
        <v>873.16</v>
      </c>
      <c r="D15" s="112">
        <v>133.19</v>
      </c>
    </row>
    <row r="16" spans="1:4" ht="26.25" customHeight="1">
      <c r="A16" s="105"/>
      <c r="B16" s="105"/>
      <c r="C16" s="105"/>
      <c r="D16" s="105"/>
    </row>
    <row r="17" spans="1:4" ht="26.25" customHeight="1">
      <c r="A17" s="104" t="s">
        <v>232</v>
      </c>
      <c r="B17" s="113">
        <v>510</v>
      </c>
      <c r="C17" s="107">
        <v>1315.8</v>
      </c>
      <c r="D17" s="108">
        <v>200.72</v>
      </c>
    </row>
    <row r="18" spans="1:4" ht="26.25" customHeight="1">
      <c r="A18" s="109" t="s">
        <v>226</v>
      </c>
      <c r="B18" s="114">
        <v>510</v>
      </c>
      <c r="C18" s="111">
        <v>1315.8</v>
      </c>
      <c r="D18" s="112">
        <v>200.72</v>
      </c>
    </row>
    <row r="19" spans="1:4" ht="26.25" customHeight="1">
      <c r="A19" s="105"/>
      <c r="B19" s="105"/>
      <c r="C19" s="105"/>
      <c r="D19" s="105"/>
    </row>
    <row r="20" spans="1:4" ht="26.25" customHeight="1">
      <c r="A20" s="104" t="s">
        <v>233</v>
      </c>
      <c r="B20" s="113">
        <v>69</v>
      </c>
      <c r="C20" s="108">
        <v>143.19</v>
      </c>
      <c r="D20" s="108">
        <v>21.85</v>
      </c>
    </row>
    <row r="21" spans="1:4" ht="26.25" customHeight="1">
      <c r="A21" s="109" t="s">
        <v>230</v>
      </c>
      <c r="B21" s="114">
        <v>29</v>
      </c>
      <c r="C21" s="112">
        <v>37.99</v>
      </c>
      <c r="D21" s="112">
        <v>5.8</v>
      </c>
    </row>
    <row r="22" spans="1:4" ht="26.25" customHeight="1">
      <c r="A22" s="109" t="s">
        <v>231</v>
      </c>
      <c r="B22" s="114">
        <v>40</v>
      </c>
      <c r="C22" s="112">
        <v>105.2</v>
      </c>
      <c r="D22" s="112">
        <v>16.05</v>
      </c>
    </row>
    <row r="23" spans="1:4" ht="26.25" customHeight="1">
      <c r="A23" s="105"/>
      <c r="B23" s="105"/>
      <c r="C23" s="105"/>
      <c r="D23" s="105"/>
    </row>
    <row r="24" spans="1:4" ht="26.25" customHeight="1">
      <c r="A24" s="104" t="s">
        <v>234</v>
      </c>
      <c r="B24" s="106">
        <v>1352</v>
      </c>
      <c r="C24" s="107">
        <v>3044.92</v>
      </c>
      <c r="D24" s="108">
        <v>464.47</v>
      </c>
    </row>
    <row r="25" spans="1:4" ht="26.25" customHeight="1">
      <c r="A25" s="109" t="s">
        <v>230</v>
      </c>
      <c r="B25" s="114">
        <v>387</v>
      </c>
      <c r="C25" s="112">
        <v>506.97</v>
      </c>
      <c r="D25" s="112">
        <v>77.33</v>
      </c>
    </row>
    <row r="26" spans="1:4" ht="26.25" customHeight="1">
      <c r="A26" s="109" t="s">
        <v>231</v>
      </c>
      <c r="B26" s="114">
        <v>965</v>
      </c>
      <c r="C26" s="111">
        <v>2537.95</v>
      </c>
      <c r="D26" s="112">
        <v>387.14</v>
      </c>
    </row>
    <row r="27" spans="1:4" ht="26.25" customHeight="1">
      <c r="A27" s="105"/>
      <c r="B27" s="105"/>
      <c r="C27" s="105"/>
      <c r="D27" s="105"/>
    </row>
    <row r="28" spans="1:4" ht="26.25" customHeight="1">
      <c r="A28" s="104" t="s">
        <v>235</v>
      </c>
      <c r="B28" s="106">
        <v>4094</v>
      </c>
      <c r="C28" s="107">
        <v>9467.02</v>
      </c>
      <c r="D28" s="107">
        <v>1444.12</v>
      </c>
    </row>
    <row r="29" spans="1:4" ht="26.25" customHeight="1">
      <c r="A29" s="109" t="s">
        <v>230</v>
      </c>
      <c r="B29" s="114">
        <v>985</v>
      </c>
      <c r="C29" s="111">
        <v>1290.35</v>
      </c>
      <c r="D29" s="112">
        <v>196.83</v>
      </c>
    </row>
    <row r="30" spans="1:4" ht="26.25" customHeight="1">
      <c r="A30" s="109" t="s">
        <v>231</v>
      </c>
      <c r="B30" s="110">
        <v>3109</v>
      </c>
      <c r="C30" s="111">
        <v>8176.67</v>
      </c>
      <c r="D30" s="111">
        <v>1247.29</v>
      </c>
    </row>
    <row r="31" spans="1:4" ht="26.25" customHeight="1">
      <c r="A31" s="105"/>
      <c r="B31" s="105"/>
      <c r="C31" s="105"/>
      <c r="D31" s="105"/>
    </row>
    <row r="32" spans="1:4" ht="26.25" customHeight="1">
      <c r="A32" s="104" t="s">
        <v>236</v>
      </c>
      <c r="B32" s="106">
        <v>6207878.925</v>
      </c>
      <c r="C32" s="107">
        <v>13682388.14</v>
      </c>
      <c r="D32" s="107">
        <v>2087143.96</v>
      </c>
    </row>
    <row r="33" spans="1:4" ht="26.25" customHeight="1">
      <c r="A33" s="109" t="s">
        <v>237</v>
      </c>
      <c r="B33" s="110">
        <v>511140.45</v>
      </c>
      <c r="C33" s="111">
        <v>669593.99</v>
      </c>
      <c r="D33" s="111">
        <v>102141.46</v>
      </c>
    </row>
    <row r="34" spans="1:4" ht="26.25" customHeight="1">
      <c r="A34" s="109" t="s">
        <v>238</v>
      </c>
      <c r="B34" s="110">
        <v>1059839.526</v>
      </c>
      <c r="C34" s="111">
        <v>2787377.95</v>
      </c>
      <c r="D34" s="111">
        <v>425193.25</v>
      </c>
    </row>
    <row r="35" spans="1:4" ht="26.25" customHeight="1">
      <c r="A35" s="109" t="s">
        <v>239</v>
      </c>
      <c r="B35" s="110">
        <v>2673911.71</v>
      </c>
      <c r="C35" s="111">
        <v>6898692.21</v>
      </c>
      <c r="D35" s="111">
        <v>1052342.88</v>
      </c>
    </row>
    <row r="36" spans="1:4" ht="26.25" customHeight="1">
      <c r="A36" s="109" t="s">
        <v>240</v>
      </c>
      <c r="B36" s="110">
        <v>274099.478</v>
      </c>
      <c r="C36" s="111">
        <v>252171.52</v>
      </c>
      <c r="D36" s="111">
        <v>38466.84</v>
      </c>
    </row>
    <row r="37" spans="1:4" ht="26.25" customHeight="1">
      <c r="A37" s="109" t="s">
        <v>241</v>
      </c>
      <c r="B37" s="110">
        <v>588854.12</v>
      </c>
      <c r="C37" s="111">
        <v>1083491.58</v>
      </c>
      <c r="D37" s="111">
        <v>165278.38</v>
      </c>
    </row>
    <row r="38" spans="1:4" ht="26.25" customHeight="1">
      <c r="A38" s="109" t="s">
        <v>242</v>
      </c>
      <c r="B38" s="110">
        <v>1100033.641</v>
      </c>
      <c r="C38" s="111">
        <v>1991060.89</v>
      </c>
      <c r="D38" s="111">
        <v>303721.15</v>
      </c>
    </row>
    <row r="39" spans="1:4" ht="26.25" customHeight="1">
      <c r="A39" s="105"/>
      <c r="B39" s="105"/>
      <c r="C39" s="105"/>
      <c r="D39" s="105"/>
    </row>
    <row r="40" spans="1:4" ht="26.25" customHeight="1">
      <c r="A40" s="104" t="s">
        <v>243</v>
      </c>
      <c r="B40" s="106">
        <v>6772</v>
      </c>
      <c r="C40" s="107">
        <v>11901.98</v>
      </c>
      <c r="D40" s="107">
        <v>1815.55</v>
      </c>
    </row>
    <row r="41" spans="1:4" ht="26.25" customHeight="1">
      <c r="A41" s="109" t="s">
        <v>240</v>
      </c>
      <c r="B41" s="114">
        <v>448</v>
      </c>
      <c r="C41" s="112">
        <v>412.16</v>
      </c>
      <c r="D41" s="112">
        <v>62.87</v>
      </c>
    </row>
    <row r="42" spans="1:4" ht="26.25" customHeight="1">
      <c r="A42" s="109" t="s">
        <v>241</v>
      </c>
      <c r="B42" s="110">
        <v>1446</v>
      </c>
      <c r="C42" s="111">
        <v>2660.64</v>
      </c>
      <c r="D42" s="112">
        <v>405.86</v>
      </c>
    </row>
    <row r="43" spans="1:4" ht="26.25" customHeight="1">
      <c r="A43" s="109" t="s">
        <v>242</v>
      </c>
      <c r="B43" s="110">
        <v>4878</v>
      </c>
      <c r="C43" s="111">
        <v>8829.18</v>
      </c>
      <c r="D43" s="111">
        <v>1346.82</v>
      </c>
    </row>
    <row r="44" spans="1:4" ht="26.25" customHeight="1">
      <c r="A44" s="105"/>
      <c r="B44" s="105"/>
      <c r="C44" s="105"/>
      <c r="D44" s="105"/>
    </row>
    <row r="45" spans="1:4" ht="26.25" customHeight="1">
      <c r="A45" s="104" t="s">
        <v>244</v>
      </c>
      <c r="B45" s="106">
        <v>-3960</v>
      </c>
      <c r="C45" s="107">
        <v>-4569.84</v>
      </c>
      <c r="D45" s="108">
        <v>-697.09</v>
      </c>
    </row>
    <row r="46" spans="1:4" ht="26.25" customHeight="1">
      <c r="A46" s="109" t="s">
        <v>238</v>
      </c>
      <c r="B46" s="114">
        <v>468</v>
      </c>
      <c r="C46" s="111">
        <v>1230.84</v>
      </c>
      <c r="D46" s="112">
        <v>187.76</v>
      </c>
    </row>
    <row r="47" spans="1:4" ht="26.25" customHeight="1">
      <c r="A47" s="109" t="s">
        <v>230</v>
      </c>
      <c r="B47" s="110">
        <v>-4428</v>
      </c>
      <c r="C47" s="111">
        <v>-5800.68</v>
      </c>
      <c r="D47" s="112">
        <v>-884.85</v>
      </c>
    </row>
    <row r="48" spans="1:4" ht="26.25" customHeight="1">
      <c r="A48" s="105"/>
      <c r="B48" s="105"/>
      <c r="C48" s="105"/>
      <c r="D48" s="105"/>
    </row>
    <row r="49" spans="1:4" ht="26.25" customHeight="1">
      <c r="A49" s="104" t="s">
        <v>245</v>
      </c>
      <c r="B49" s="106">
        <v>34213.12</v>
      </c>
      <c r="C49" s="107">
        <v>66365.96</v>
      </c>
      <c r="D49" s="107">
        <v>10123.63</v>
      </c>
    </row>
    <row r="50" spans="1:4" ht="26.25" customHeight="1">
      <c r="A50" s="109" t="s">
        <v>237</v>
      </c>
      <c r="B50" s="110">
        <v>3079</v>
      </c>
      <c r="C50" s="111">
        <v>4033.49</v>
      </c>
      <c r="D50" s="112">
        <v>615.28</v>
      </c>
    </row>
    <row r="51" spans="1:4" ht="26.25" customHeight="1">
      <c r="A51" s="109" t="s">
        <v>238</v>
      </c>
      <c r="B51" s="110">
        <v>9046</v>
      </c>
      <c r="C51" s="111">
        <v>23790.98</v>
      </c>
      <c r="D51" s="111">
        <v>3629.14</v>
      </c>
    </row>
    <row r="52" spans="1:4" ht="26.25" customHeight="1">
      <c r="A52" s="109" t="s">
        <v>239</v>
      </c>
      <c r="B52" s="110">
        <v>3079.12</v>
      </c>
      <c r="C52" s="111">
        <v>7944.13</v>
      </c>
      <c r="D52" s="111">
        <v>1211.82</v>
      </c>
    </row>
    <row r="53" spans="1:4" ht="26.25" customHeight="1">
      <c r="A53" s="109" t="s">
        <v>240</v>
      </c>
      <c r="B53" s="110">
        <v>4760</v>
      </c>
      <c r="C53" s="111">
        <v>4379.2</v>
      </c>
      <c r="D53" s="112">
        <v>668.01</v>
      </c>
    </row>
    <row r="54" spans="1:4" ht="26.25" customHeight="1">
      <c r="A54" s="109" t="s">
        <v>241</v>
      </c>
      <c r="B54" s="110">
        <v>14249</v>
      </c>
      <c r="C54" s="111">
        <v>26218.16</v>
      </c>
      <c r="D54" s="111">
        <v>3999.38</v>
      </c>
    </row>
    <row r="55" spans="1:4" ht="26.25" customHeight="1">
      <c r="A55" s="105"/>
      <c r="B55" s="105"/>
      <c r="C55" s="105"/>
      <c r="D55" s="105"/>
    </row>
    <row r="56" spans="1:4" ht="26.25" customHeight="1">
      <c r="A56" s="104" t="s">
        <v>246</v>
      </c>
      <c r="B56" s="106">
        <v>17640</v>
      </c>
      <c r="C56" s="107">
        <v>39051.36</v>
      </c>
      <c r="D56" s="107">
        <v>5956.99</v>
      </c>
    </row>
    <row r="57" spans="1:4" ht="26.25" customHeight="1">
      <c r="A57" s="109" t="s">
        <v>237</v>
      </c>
      <c r="B57" s="110">
        <v>5562</v>
      </c>
      <c r="C57" s="111">
        <v>7286.22</v>
      </c>
      <c r="D57" s="111">
        <v>1111.46</v>
      </c>
    </row>
    <row r="58" spans="1:4" ht="26.25" customHeight="1">
      <c r="A58" s="109" t="s">
        <v>238</v>
      </c>
      <c r="B58" s="110">
        <v>12078</v>
      </c>
      <c r="C58" s="111">
        <v>31765.14</v>
      </c>
      <c r="D58" s="111">
        <v>4845.53</v>
      </c>
    </row>
    <row r="59" spans="1:4" ht="26.25" customHeight="1">
      <c r="A59" s="105"/>
      <c r="B59" s="105"/>
      <c r="C59" s="105"/>
      <c r="D59" s="105"/>
    </row>
    <row r="60" spans="1:4" ht="26.25" customHeight="1">
      <c r="A60" s="104" t="s">
        <v>247</v>
      </c>
      <c r="B60" s="106">
        <v>2029</v>
      </c>
      <c r="C60" s="107">
        <v>3672.49</v>
      </c>
      <c r="D60" s="108">
        <v>560.21</v>
      </c>
    </row>
    <row r="61" spans="1:4" ht="26.25" customHeight="1">
      <c r="A61" s="109" t="s">
        <v>242</v>
      </c>
      <c r="B61" s="110">
        <v>2029</v>
      </c>
      <c r="C61" s="111">
        <v>3672.49</v>
      </c>
      <c r="D61" s="112">
        <v>560.21</v>
      </c>
    </row>
    <row r="62" spans="1:4" ht="26.25" customHeight="1">
      <c r="A62" s="105"/>
      <c r="B62" s="105"/>
      <c r="C62" s="105"/>
      <c r="D62" s="105"/>
    </row>
    <row r="63" spans="1:4" ht="26.25" customHeight="1">
      <c r="A63" s="104" t="s">
        <v>248</v>
      </c>
      <c r="B63" s="106">
        <v>3402.876</v>
      </c>
      <c r="C63" s="107">
        <v>4428.12</v>
      </c>
      <c r="D63" s="108">
        <v>675.47</v>
      </c>
    </row>
    <row r="64" spans="1:4" ht="26.25" customHeight="1">
      <c r="A64" s="109" t="s">
        <v>249</v>
      </c>
      <c r="B64" s="110">
        <v>2064.087</v>
      </c>
      <c r="C64" s="111">
        <v>1898.96</v>
      </c>
      <c r="D64" s="112">
        <v>289.67</v>
      </c>
    </row>
    <row r="65" spans="1:4" ht="26.25" customHeight="1">
      <c r="A65" s="109" t="s">
        <v>250</v>
      </c>
      <c r="B65" s="110">
        <v>3531.728</v>
      </c>
      <c r="C65" s="111">
        <v>6498.38</v>
      </c>
      <c r="D65" s="112">
        <v>991.28</v>
      </c>
    </row>
    <row r="66" spans="1:4" ht="26.25" customHeight="1">
      <c r="A66" s="109" t="s">
        <v>251</v>
      </c>
      <c r="B66" s="110">
        <v>-2192.939</v>
      </c>
      <c r="C66" s="111">
        <v>-3969.22</v>
      </c>
      <c r="D66" s="112">
        <v>-605.48</v>
      </c>
    </row>
    <row r="67" spans="1:4" ht="26.25" customHeight="1">
      <c r="A67" s="105"/>
      <c r="B67" s="105"/>
      <c r="C67" s="105"/>
      <c r="D67" s="105"/>
    </row>
    <row r="68" spans="1:4" ht="26.25" customHeight="1">
      <c r="A68" s="104" t="s">
        <v>252</v>
      </c>
      <c r="B68" s="106">
        <v>216694.091</v>
      </c>
      <c r="C68" s="107">
        <v>492728.61</v>
      </c>
      <c r="D68" s="107">
        <v>75161.99</v>
      </c>
    </row>
    <row r="69" spans="1:4" ht="26.25" customHeight="1">
      <c r="A69" s="109" t="s">
        <v>237</v>
      </c>
      <c r="B69" s="110">
        <v>43023.16</v>
      </c>
      <c r="C69" s="111">
        <v>56360.34</v>
      </c>
      <c r="D69" s="111">
        <v>8597.34</v>
      </c>
    </row>
    <row r="70" spans="1:4" ht="26.25" customHeight="1">
      <c r="A70" s="109" t="s">
        <v>238</v>
      </c>
      <c r="B70" s="110">
        <v>61087.544</v>
      </c>
      <c r="C70" s="111">
        <v>160660.24</v>
      </c>
      <c r="D70" s="111">
        <v>24507.5</v>
      </c>
    </row>
    <row r="71" spans="1:4" ht="26.25" customHeight="1">
      <c r="A71" s="109" t="s">
        <v>239</v>
      </c>
      <c r="B71" s="110">
        <v>93418.306</v>
      </c>
      <c r="C71" s="111">
        <v>241019.23</v>
      </c>
      <c r="D71" s="111">
        <v>36765.64</v>
      </c>
    </row>
    <row r="72" spans="1:4" ht="26.25" customHeight="1">
      <c r="A72" s="109" t="s">
        <v>242</v>
      </c>
      <c r="B72" s="110">
        <v>19165.081</v>
      </c>
      <c r="C72" s="111">
        <v>34688.8</v>
      </c>
      <c r="D72" s="111">
        <v>5291.51</v>
      </c>
    </row>
    <row r="73" spans="1:4" ht="26.25" customHeight="1">
      <c r="A73" s="105"/>
      <c r="B73" s="105"/>
      <c r="C73" s="105"/>
      <c r="D73" s="105"/>
    </row>
    <row r="74" spans="1:4" ht="26.25" customHeight="1">
      <c r="A74" s="104" t="s">
        <v>253</v>
      </c>
      <c r="B74" s="106">
        <v>102705.37</v>
      </c>
      <c r="C74" s="107">
        <v>182130.63</v>
      </c>
      <c r="D74" s="107">
        <v>27782.64</v>
      </c>
    </row>
    <row r="75" spans="1:4" ht="26.25" customHeight="1">
      <c r="A75" s="109" t="s">
        <v>237</v>
      </c>
      <c r="B75" s="110">
        <v>3967</v>
      </c>
      <c r="C75" s="111">
        <v>5196.77</v>
      </c>
      <c r="D75" s="112">
        <v>792.73</v>
      </c>
    </row>
    <row r="76" spans="1:4" ht="26.25" customHeight="1">
      <c r="A76" s="109" t="s">
        <v>238</v>
      </c>
      <c r="B76" s="110">
        <v>8122.703</v>
      </c>
      <c r="C76" s="111">
        <v>21362.71</v>
      </c>
      <c r="D76" s="111">
        <v>3258.72</v>
      </c>
    </row>
    <row r="77" spans="1:4" ht="26.25" customHeight="1">
      <c r="A77" s="109" t="s">
        <v>239</v>
      </c>
      <c r="B77" s="110">
        <v>10584.667</v>
      </c>
      <c r="C77" s="111">
        <v>27308.44</v>
      </c>
      <c r="D77" s="111">
        <v>4165.69</v>
      </c>
    </row>
    <row r="78" spans="1:4" ht="26.25" customHeight="1">
      <c r="A78" s="109" t="s">
        <v>240</v>
      </c>
      <c r="B78" s="110">
        <v>20354</v>
      </c>
      <c r="C78" s="111">
        <v>18725.68</v>
      </c>
      <c r="D78" s="111">
        <v>2856.46</v>
      </c>
    </row>
    <row r="79" spans="1:4" ht="26.25" customHeight="1">
      <c r="A79" s="109" t="s">
        <v>241</v>
      </c>
      <c r="B79" s="110">
        <v>50722</v>
      </c>
      <c r="C79" s="111">
        <v>93328.48</v>
      </c>
      <c r="D79" s="111">
        <v>14236.55</v>
      </c>
    </row>
    <row r="80" spans="1:4" ht="26.25" customHeight="1">
      <c r="A80" s="109" t="s">
        <v>242</v>
      </c>
      <c r="B80" s="110">
        <v>8955</v>
      </c>
      <c r="C80" s="111">
        <v>16208.55</v>
      </c>
      <c r="D80" s="111">
        <v>2472.49</v>
      </c>
    </row>
    <row r="81" spans="1:4" ht="26.25" customHeight="1">
      <c r="A81" s="105"/>
      <c r="B81" s="105"/>
      <c r="C81" s="105"/>
      <c r="D81" s="105"/>
    </row>
    <row r="82" spans="1:4" ht="26.25" customHeight="1">
      <c r="A82" s="104" t="s">
        <v>254</v>
      </c>
      <c r="B82" s="106">
        <v>185266.22</v>
      </c>
      <c r="C82" s="107">
        <v>339896.91</v>
      </c>
      <c r="D82" s="107">
        <v>51848.67</v>
      </c>
    </row>
    <row r="83" spans="1:4" ht="26.25" customHeight="1">
      <c r="A83" s="109" t="s">
        <v>237</v>
      </c>
      <c r="B83" s="114">
        <v>132.58</v>
      </c>
      <c r="C83" s="112">
        <v>173.68</v>
      </c>
      <c r="D83" s="112">
        <v>26.49</v>
      </c>
    </row>
    <row r="84" spans="1:4" ht="26.25" customHeight="1">
      <c r="A84" s="109" t="s">
        <v>238</v>
      </c>
      <c r="B84" s="110">
        <v>1280.065</v>
      </c>
      <c r="C84" s="111">
        <v>3366.57</v>
      </c>
      <c r="D84" s="112">
        <v>513.54</v>
      </c>
    </row>
    <row r="85" spans="1:4" ht="26.25" customHeight="1">
      <c r="A85" s="109" t="s">
        <v>239</v>
      </c>
      <c r="B85" s="110">
        <v>13830.527</v>
      </c>
      <c r="C85" s="111">
        <v>35682.76</v>
      </c>
      <c r="D85" s="111">
        <v>5443.14</v>
      </c>
    </row>
    <row r="86" spans="1:4" ht="26.25" customHeight="1">
      <c r="A86" s="109" t="s">
        <v>240</v>
      </c>
      <c r="B86" s="110">
        <v>11987.109</v>
      </c>
      <c r="C86" s="111">
        <v>11028.14</v>
      </c>
      <c r="D86" s="111">
        <v>1682.25</v>
      </c>
    </row>
    <row r="87" spans="1:4" ht="26.25" customHeight="1">
      <c r="A87" s="109" t="s">
        <v>241</v>
      </c>
      <c r="B87" s="110">
        <v>120023.712</v>
      </c>
      <c r="C87" s="111">
        <v>220843.63</v>
      </c>
      <c r="D87" s="111">
        <v>33688.01</v>
      </c>
    </row>
    <row r="88" spans="1:4" ht="26.25" customHeight="1">
      <c r="A88" s="109" t="s">
        <v>242</v>
      </c>
      <c r="B88" s="110">
        <v>38012.227</v>
      </c>
      <c r="C88" s="111">
        <v>68802.13</v>
      </c>
      <c r="D88" s="111">
        <v>10495.24</v>
      </c>
    </row>
    <row r="89" spans="1:4" ht="26.25" customHeight="1">
      <c r="A89" s="105"/>
      <c r="B89" s="105"/>
      <c r="C89" s="105"/>
      <c r="D89" s="105"/>
    </row>
    <row r="90" spans="1:4" ht="26.25" customHeight="1">
      <c r="A90" s="104" t="s">
        <v>255</v>
      </c>
      <c r="B90" s="106">
        <v>97546</v>
      </c>
      <c r="C90" s="107">
        <v>193371.23</v>
      </c>
      <c r="D90" s="107">
        <v>29497.31</v>
      </c>
    </row>
    <row r="91" spans="1:4" ht="26.25" customHeight="1">
      <c r="A91" s="109" t="s">
        <v>237</v>
      </c>
      <c r="B91" s="110">
        <v>21820</v>
      </c>
      <c r="C91" s="111">
        <v>28584.2</v>
      </c>
      <c r="D91" s="111">
        <v>4360.3</v>
      </c>
    </row>
    <row r="92" spans="1:4" ht="26.25" customHeight="1">
      <c r="A92" s="109" t="s">
        <v>238</v>
      </c>
      <c r="B92" s="110">
        <v>39687</v>
      </c>
      <c r="C92" s="111">
        <v>104376.81</v>
      </c>
      <c r="D92" s="111">
        <v>15921.89</v>
      </c>
    </row>
    <row r="93" spans="1:4" ht="26.25" customHeight="1">
      <c r="A93" s="109" t="s">
        <v>239</v>
      </c>
      <c r="B93" s="110">
        <v>2319</v>
      </c>
      <c r="C93" s="111">
        <v>5983.02</v>
      </c>
      <c r="D93" s="112">
        <v>912.66</v>
      </c>
    </row>
    <row r="94" spans="1:4" ht="26.25" customHeight="1">
      <c r="A94" s="109" t="s">
        <v>240</v>
      </c>
      <c r="B94" s="110">
        <v>8280</v>
      </c>
      <c r="C94" s="111">
        <v>7617.6</v>
      </c>
      <c r="D94" s="111">
        <v>1162.01</v>
      </c>
    </row>
    <row r="95" spans="1:4" ht="26.25" customHeight="1">
      <c r="A95" s="109" t="s">
        <v>241</v>
      </c>
      <c r="B95" s="110">
        <v>25440</v>
      </c>
      <c r="C95" s="111">
        <v>46809.6</v>
      </c>
      <c r="D95" s="111">
        <v>7140.45</v>
      </c>
    </row>
    <row r="96" spans="1:4" ht="26.25" customHeight="1">
      <c r="A96" s="105"/>
      <c r="B96" s="105"/>
      <c r="C96" s="105"/>
      <c r="D96" s="105"/>
    </row>
    <row r="97" spans="1:4" ht="26.25" customHeight="1">
      <c r="A97" s="104" t="s">
        <v>256</v>
      </c>
      <c r="B97" s="106">
        <v>212232</v>
      </c>
      <c r="C97" s="107">
        <v>345147.38</v>
      </c>
      <c r="D97" s="107">
        <v>52649.61</v>
      </c>
    </row>
    <row r="98" spans="1:4" ht="26.25" customHeight="1">
      <c r="A98" s="109" t="s">
        <v>240</v>
      </c>
      <c r="B98" s="110">
        <v>49160</v>
      </c>
      <c r="C98" s="111">
        <v>45227.2</v>
      </c>
      <c r="D98" s="111">
        <v>6899.07</v>
      </c>
    </row>
    <row r="99" spans="1:4" ht="26.25" customHeight="1">
      <c r="A99" s="109" t="s">
        <v>241</v>
      </c>
      <c r="B99" s="110">
        <v>158662</v>
      </c>
      <c r="C99" s="111">
        <v>291938.08</v>
      </c>
      <c r="D99" s="111">
        <v>44532.93</v>
      </c>
    </row>
    <row r="100" spans="1:4" ht="26.25" customHeight="1">
      <c r="A100" s="109" t="s">
        <v>242</v>
      </c>
      <c r="B100" s="110">
        <v>4410</v>
      </c>
      <c r="C100" s="111">
        <v>7982.1</v>
      </c>
      <c r="D100" s="111">
        <v>1217.61</v>
      </c>
    </row>
    <row r="101" spans="1:4" ht="26.25" customHeight="1">
      <c r="A101" s="105"/>
      <c r="B101" s="105"/>
      <c r="C101" s="105"/>
      <c r="D101" s="105"/>
    </row>
    <row r="102" spans="1:4" ht="26.25" customHeight="1">
      <c r="A102" s="104" t="s">
        <v>257</v>
      </c>
      <c r="B102" s="106">
        <v>1387</v>
      </c>
      <c r="C102" s="107">
        <v>3217.49</v>
      </c>
      <c r="D102" s="108">
        <v>490.8</v>
      </c>
    </row>
    <row r="103" spans="1:4" ht="26.25" customHeight="1">
      <c r="A103" s="109" t="s">
        <v>230</v>
      </c>
      <c r="B103" s="114">
        <v>326</v>
      </c>
      <c r="C103" s="112">
        <v>427.06</v>
      </c>
      <c r="D103" s="112">
        <v>65.14</v>
      </c>
    </row>
    <row r="104" spans="1:4" ht="26.25" customHeight="1">
      <c r="A104" s="109" t="s">
        <v>231</v>
      </c>
      <c r="B104" s="110">
        <v>1061</v>
      </c>
      <c r="C104" s="111">
        <v>2790.43</v>
      </c>
      <c r="D104" s="112">
        <v>425.66</v>
      </c>
    </row>
    <row r="105" spans="1:4" ht="26.25" customHeight="1">
      <c r="A105" s="105"/>
      <c r="B105" s="105"/>
      <c r="C105" s="105"/>
      <c r="D105" s="105"/>
    </row>
    <row r="106" spans="1:4" ht="26.25" customHeight="1">
      <c r="A106" s="104" t="s">
        <v>141</v>
      </c>
      <c r="B106" s="106">
        <v>2682</v>
      </c>
      <c r="C106" s="107">
        <v>6919.56</v>
      </c>
      <c r="D106" s="107">
        <v>1055.53</v>
      </c>
    </row>
    <row r="107" spans="1:4" ht="26.25" customHeight="1">
      <c r="A107" s="109" t="s">
        <v>226</v>
      </c>
      <c r="B107" s="110">
        <v>2682</v>
      </c>
      <c r="C107" s="111">
        <v>6919.56</v>
      </c>
      <c r="D107" s="111">
        <v>1055.53</v>
      </c>
    </row>
    <row r="108" spans="1:4" ht="26.25" customHeight="1">
      <c r="A108" s="105"/>
      <c r="B108" s="105"/>
      <c r="C108" s="105"/>
      <c r="D108" s="105"/>
    </row>
    <row r="109" spans="1:4" ht="26.25" customHeight="1">
      <c r="A109" s="104" t="s">
        <v>142</v>
      </c>
      <c r="B109" s="113">
        <v>216</v>
      </c>
      <c r="C109" s="108">
        <v>557.28</v>
      </c>
      <c r="D109" s="108">
        <v>85.01</v>
      </c>
    </row>
    <row r="110" spans="1:4" ht="26.25" customHeight="1">
      <c r="A110" s="109" t="s">
        <v>239</v>
      </c>
      <c r="B110" s="114">
        <v>216</v>
      </c>
      <c r="C110" s="112">
        <v>557.28</v>
      </c>
      <c r="D110" s="112">
        <v>85.01</v>
      </c>
    </row>
    <row r="111" spans="1:4" ht="26.25" customHeight="1">
      <c r="A111" s="105"/>
      <c r="B111" s="105"/>
      <c r="C111" s="105"/>
      <c r="D111" s="105"/>
    </row>
    <row r="112" spans="1:4" ht="26.25" customHeight="1">
      <c r="A112" s="104" t="s">
        <v>258</v>
      </c>
      <c r="B112" s="113">
        <v>80</v>
      </c>
      <c r="C112" s="108">
        <v>190.6</v>
      </c>
      <c r="D112" s="108">
        <v>29.08</v>
      </c>
    </row>
    <row r="113" spans="1:4" ht="26.25" customHeight="1">
      <c r="A113" s="109" t="s">
        <v>230</v>
      </c>
      <c r="B113" s="114">
        <v>15</v>
      </c>
      <c r="C113" s="112">
        <v>19.65</v>
      </c>
      <c r="D113" s="112">
        <v>3</v>
      </c>
    </row>
    <row r="114" spans="1:4" ht="26.25" customHeight="1">
      <c r="A114" s="109" t="s">
        <v>231</v>
      </c>
      <c r="B114" s="114">
        <v>65</v>
      </c>
      <c r="C114" s="112">
        <v>170.95</v>
      </c>
      <c r="D114" s="112">
        <v>26.08</v>
      </c>
    </row>
    <row r="115" spans="1:4" ht="26.25" customHeight="1">
      <c r="A115" s="105"/>
      <c r="B115" s="105"/>
      <c r="C115" s="105"/>
      <c r="D115" s="105"/>
    </row>
    <row r="116" spans="1:4" ht="26.25" customHeight="1">
      <c r="A116" s="104" t="s">
        <v>259</v>
      </c>
      <c r="B116" s="106">
        <v>7095585.602</v>
      </c>
      <c r="C116" s="107">
        <v>15388345.58</v>
      </c>
      <c r="D116" s="107">
        <v>2347374.76</v>
      </c>
    </row>
    <row r="117" spans="1:4" ht="26.25" customHeight="1">
      <c r="A117" s="105"/>
      <c r="B117" s="105"/>
      <c r="C117" s="105"/>
      <c r="D117" s="105"/>
    </row>
    <row r="118" spans="1:4" ht="26.25" customHeight="1">
      <c r="A118" s="105"/>
      <c r="B118" s="105"/>
      <c r="C118" s="105"/>
      <c r="D118" s="105"/>
    </row>
    <row r="119" spans="1:4" ht="26.25" customHeight="1">
      <c r="A119" s="105"/>
      <c r="B119" s="105"/>
      <c r="C119" s="105"/>
      <c r="D119" s="105"/>
    </row>
    <row r="120" spans="1:4" ht="26.25" customHeight="1">
      <c r="A120" s="105"/>
      <c r="B120" s="105"/>
      <c r="C120" s="105"/>
      <c r="D120" s="105"/>
    </row>
    <row r="121" spans="1:4" ht="26.25" customHeight="1">
      <c r="A121" s="105"/>
      <c r="B121" s="105"/>
      <c r="C121" s="105"/>
      <c r="D121" s="105"/>
    </row>
    <row r="122" spans="1:4" ht="26.25" customHeight="1">
      <c r="A122" s="105"/>
      <c r="B122" s="105"/>
      <c r="C122" s="105"/>
      <c r="D122" s="105"/>
    </row>
    <row r="123" spans="1:4" ht="26.25" customHeight="1">
      <c r="A123" s="105"/>
      <c r="B123" s="105"/>
      <c r="C123" s="105"/>
      <c r="D123" s="105"/>
    </row>
    <row r="124" spans="1:4" ht="26.25" customHeight="1">
      <c r="A124" s="105"/>
      <c r="B124" s="105"/>
      <c r="C124" s="105"/>
      <c r="D124" s="105"/>
    </row>
    <row r="125" spans="1:4" ht="26.25" customHeight="1">
      <c r="A125" s="105"/>
      <c r="B125" s="105"/>
      <c r="C125" s="105"/>
      <c r="D125" s="105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2018-04-19T09:17:46Z</cp:lastPrinted>
  <dcterms:modified xsi:type="dcterms:W3CDTF">2018-12-14T05:59:02Z</dcterms:modified>
  <cp:category/>
  <cp:version/>
  <cp:contentType/>
  <cp:contentStatus/>
</cp:coreProperties>
</file>