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<sst xmlns="http://schemas.openxmlformats.org/spreadsheetml/2006/main" count="305" uniqueCount="128">
  <si>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</si>
  <si>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</si>
  <si>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</si>
  <si>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</si>
  <si>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</si>
  <si>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</si>
  <si>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</si>
  <si>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</si>
  <si>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</si>
  <si>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</si>
  <si>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</si>
  <si>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</si>
  <si>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</si>
  <si>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</si>
  <si>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</si>
  <si>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</si>
  <si>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</si>
  <si>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</si>
  <si>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</si>
  <si>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</si>
  <si>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</si>
  <si>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</si>
  <si>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</si>
  <si>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</si>
  <si>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</si>
  <si>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</si>
  <si>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</si>
  <si>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</si>
  <si>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</si>
  <si>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</si>
  <si>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</si>
  <si>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</si>
  <si>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</si>
  <si>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</si>
  <si>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</si>
  <si>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</si>
  <si>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</si>
  <si>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</si>
  <si>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</si>
  <si>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</si>
  <si>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</si>
  <si>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</si>
  <si>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</si>
  <si>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</si>
  <si>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</si>
  <si>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</si>
  <si>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</si>
  <si>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</si>
  <si>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</si>
  <si>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</si>
  <si>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</si>
  <si>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</si>
  <si>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</si>
  <si>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</si>
  <si>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</si>
  <si>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</si>
  <si>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</si>
  <si>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</si>
  <si>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</si>
  <si>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</si>
  <si>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</si>
  <si>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</si>
  <si>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</si>
  <si>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</si>
  <si>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</si>
  <si>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</si>
  <si>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</si>
  <si>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</si>
  <si>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</si>
  <si>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</si>
  <si>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</si>
  <si>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</si>
  <si>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</si>
  <si>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</si>
  <si>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</si>
  <si>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</si>
  <si>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</si>
  <si>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</si>
  <si>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</si>
  <si>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</si>
  <si>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</si>
  <si>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</si>
  <si>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</si>
  <si>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</si>
  <si>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</si>
  <si>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</si>
  <si>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</si>
  <si>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</si>
  <si>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</si>
  <si>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</si>
  <si>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</si>
  <si>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</si>
  <si>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</si>
  <si>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</si>
  <si>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</si>
  <si>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</si>
  <si>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</si>
  <si>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</si>
  <si>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</si>
  <si>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</si>
  <si>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</si>
  <si>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</si>
  <si>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</si>
  <si>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</si>
  <si>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</si>
  <si>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</si>
  <si>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</si>
  <si>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</si>
  <si>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</si>
  <si>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</si>
  <si>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</si>
  <si>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</si>
  <si>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</si>
  <si>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</si>
  <si>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</si>
  <si>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</si>
  <si>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</si>
  <si>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</si>
  <si>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</si>
  <si>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</si>
  <si>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</si>
  <si>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</si>
  <si>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</si>
  <si>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Население, проживающее в сельских населенных пунктах в т.ч.:</t>
  </si>
  <si>
    <t>п. Пельвож</t>
  </si>
  <si>
    <t>п. Горнокнязевск</t>
  </si>
  <si>
    <t>Раздел I. Полезный отпуск электроэнергии и мощности, реализуемой по регулируемым тарифам (ценам) за май 2014г.</t>
  </si>
  <si>
    <t>Раздел III. Продажа электрической энергии и мощности за май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</si>
</sst>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9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19" applyFont="1" applyProtection="1">
      <alignment/>
      <protection/>
    </xf>
    <xf numFmtId="0" fontId="1" fillId="0" borderId="0" xfId="19" applyNumberFormat="1" applyFont="1" applyProtection="1">
      <alignment/>
      <protection/>
    </xf>
    <xf numFmtId="0" fontId="1" fillId="0" borderId="0" xfId="18" applyFont="1" applyProtection="1">
      <alignment/>
      <protection/>
    </xf>
    <xf numFmtId="49" fontId="1" fillId="0" borderId="0" xfId="19" applyNumberFormat="1" applyFont="1" applyProtection="1">
      <alignment/>
      <protection/>
    </xf>
    <xf numFmtId="0" fontId="1" fillId="0" borderId="0" xfId="19" applyFont="1" applyBorder="1" applyProtection="1">
      <alignment/>
      <protection/>
    </xf>
    <xf numFmtId="0" fontId="3" fillId="0" borderId="1" xfId="21" applyFont="1" applyFill="1" applyBorder="1" applyAlignment="1" applyProtection="1">
      <alignment vertical="center"/>
      <protection/>
    </xf>
    <xf numFmtId="0" fontId="3" fillId="0" borderId="1" xfId="21" applyFont="1" applyFill="1" applyBorder="1" applyAlignment="1" applyProtection="1">
      <alignment vertical="center" wrapText="1"/>
      <protection/>
    </xf>
    <xf numFmtId="0" fontId="1" fillId="0" borderId="1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vertical="center"/>
      <protection/>
    </xf>
    <xf numFmtId="49" fontId="1" fillId="0" borderId="0" xfId="17" applyFont="1" applyBorder="1" applyAlignment="1">
      <alignment vertical="center"/>
      <protection/>
    </xf>
    <xf numFmtId="0" fontId="6" fillId="0" borderId="0" xfId="19" applyFont="1" applyBorder="1" applyProtection="1">
      <alignment/>
      <protection/>
    </xf>
    <xf numFmtId="0" fontId="6" fillId="0" borderId="0" xfId="19" applyFont="1" applyProtection="1">
      <alignment/>
      <protection/>
    </xf>
    <xf numFmtId="0" fontId="1" fillId="0" borderId="0" xfId="17" applyNumberFormat="1" applyFont="1" applyBorder="1" applyAlignment="1">
      <alignment vertical="center"/>
      <protection/>
    </xf>
    <xf numFmtId="0" fontId="1" fillId="0" borderId="1" xfId="19" applyFont="1" applyBorder="1" applyProtection="1">
      <alignment/>
      <protection/>
    </xf>
    <xf numFmtId="49" fontId="1" fillId="0" borderId="0" xfId="17" applyFont="1" applyBorder="1" applyAlignment="1">
      <alignment horizontal="right" vertical="top"/>
      <protection/>
    </xf>
    <xf numFmtId="49" fontId="1" fillId="0" borderId="2" xfId="17" applyFont="1" applyFill="1" applyBorder="1" applyAlignment="1" applyProtection="1">
      <alignment horizontal="center" vertical="center" wrapText="1"/>
      <protection/>
    </xf>
    <xf numFmtId="49" fontId="1" fillId="0" borderId="3" xfId="17" applyFont="1" applyFill="1" applyBorder="1" applyAlignment="1" applyProtection="1">
      <alignment horizontal="center" vertical="center" wrapText="1"/>
      <protection/>
    </xf>
    <xf numFmtId="49" fontId="1" fillId="0" borderId="4" xfId="17" applyFont="1" applyFill="1" applyBorder="1" applyAlignment="1" applyProtection="1">
      <alignment horizontal="center" vertical="center" wrapText="1"/>
      <protection/>
    </xf>
    <xf numFmtId="49" fontId="1" fillId="0" borderId="5" xfId="17" applyFont="1" applyFill="1" applyBorder="1" applyAlignment="1" applyProtection="1">
      <alignment horizontal="center" vertical="center" wrapText="1"/>
      <protection/>
    </xf>
    <xf numFmtId="0" fontId="7" fillId="0" borderId="1" xfId="19" applyFont="1" applyBorder="1" applyAlignment="1" applyProtection="1">
      <alignment horizontal="center" vertical="center" wrapText="1"/>
      <protection/>
    </xf>
    <xf numFmtId="0" fontId="1" fillId="0" borderId="1" xfId="19" applyFont="1" applyBorder="1" applyAlignment="1" applyProtection="1">
      <alignment horizontal="center" vertical="center" wrapText="1"/>
      <protection/>
    </xf>
    <xf numFmtId="49" fontId="1" fillId="0" borderId="2" xfId="17" applyFont="1" applyFill="1" applyBorder="1" applyAlignment="1" applyProtection="1">
      <alignment vertical="center" wrapText="1"/>
      <protection/>
    </xf>
    <xf numFmtId="180" fontId="1" fillId="2" borderId="2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6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7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1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3" xfId="1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9" applyFont="1" applyProtection="1">
      <alignment/>
      <protection locked="0"/>
    </xf>
    <xf numFmtId="180" fontId="1" fillId="2" borderId="2" xfId="19" applyNumberFormat="1" applyFont="1" applyFill="1" applyBorder="1" applyAlignment="1" applyProtection="1">
      <alignment horizontal="right" vertical="center"/>
      <protection locked="0"/>
    </xf>
    <xf numFmtId="180" fontId="1" fillId="2" borderId="6" xfId="19" applyNumberFormat="1" applyFont="1" applyFill="1" applyBorder="1" applyAlignment="1" applyProtection="1">
      <alignment horizontal="right" vertical="center"/>
      <protection locked="0"/>
    </xf>
    <xf numFmtId="49" fontId="1" fillId="0" borderId="4" xfId="17" applyFont="1" applyFill="1" applyBorder="1" applyAlignment="1" applyProtection="1">
      <alignment horizontal="center" vertical="center" wrapText="1"/>
      <protection/>
    </xf>
    <xf numFmtId="0" fontId="1" fillId="0" borderId="1" xfId="19" applyFont="1" applyBorder="1" applyAlignment="1" applyProtection="1">
      <alignment horizontal="left" vertical="center"/>
      <protection/>
    </xf>
    <xf numFmtId="180" fontId="1" fillId="2" borderId="7" xfId="19" applyNumberFormat="1" applyFont="1" applyFill="1" applyBorder="1" applyAlignment="1" applyProtection="1">
      <alignment horizontal="right" vertical="center"/>
      <protection locked="0"/>
    </xf>
    <xf numFmtId="180" fontId="1" fillId="2" borderId="1" xfId="19" applyNumberFormat="1" applyFont="1" applyFill="1" applyBorder="1" applyAlignment="1" applyProtection="1">
      <alignment horizontal="right" vertical="center"/>
      <protection locked="0"/>
    </xf>
    <xf numFmtId="180" fontId="1" fillId="2" borderId="3" xfId="19" applyNumberFormat="1" applyFont="1" applyFill="1" applyBorder="1" applyAlignment="1" applyProtection="1">
      <alignment horizontal="right" vertical="center"/>
      <protection locked="0"/>
    </xf>
    <xf numFmtId="180" fontId="1" fillId="2" borderId="8" xfId="19" applyNumberFormat="1" applyFont="1" applyFill="1" applyBorder="1" applyAlignment="1" applyProtection="1">
      <alignment horizontal="right" vertical="center"/>
      <protection locked="0"/>
    </xf>
    <xf numFmtId="180" fontId="1" fillId="2" borderId="4" xfId="19" applyNumberFormat="1" applyFont="1" applyFill="1" applyBorder="1" applyAlignment="1" applyProtection="1">
      <alignment horizontal="right" vertical="center"/>
      <protection locked="0"/>
    </xf>
    <xf numFmtId="180" fontId="1" fillId="2" borderId="5" xfId="19" applyNumberFormat="1" applyFont="1" applyFill="1" applyBorder="1" applyAlignment="1" applyProtection="1">
      <alignment horizontal="right" vertical="center"/>
      <protection locked="0"/>
    </xf>
    <xf numFmtId="49" fontId="1" fillId="0" borderId="4" xfId="17" applyFont="1" applyFill="1" applyBorder="1" applyAlignment="1" applyProtection="1">
      <alignment vertical="center" wrapText="1"/>
      <protection/>
    </xf>
    <xf numFmtId="180" fontId="1" fillId="3" borderId="4" xfId="19" applyNumberFormat="1" applyFont="1" applyFill="1" applyBorder="1" applyAlignment="1" applyProtection="1">
      <alignment horizontal="right" vertical="center"/>
      <protection/>
    </xf>
    <xf numFmtId="180" fontId="1" fillId="3" borderId="5" xfId="19" applyNumberFormat="1" applyFont="1" applyFill="1" applyBorder="1" applyAlignment="1" applyProtection="1">
      <alignment horizontal="right" vertical="center"/>
      <protection/>
    </xf>
    <xf numFmtId="180" fontId="1" fillId="3" borderId="8" xfId="19" applyNumberFormat="1" applyFont="1" applyFill="1" applyBorder="1" applyAlignment="1" applyProtection="1">
      <alignment horizontal="right" vertical="center"/>
      <protection/>
    </xf>
    <xf numFmtId="180" fontId="1" fillId="3" borderId="9" xfId="19" applyNumberFormat="1" applyFont="1" applyFill="1" applyBorder="1" applyAlignment="1" applyProtection="1">
      <alignment horizontal="right" vertical="center"/>
      <protection/>
    </xf>
    <xf numFmtId="180" fontId="1" fillId="3" borderId="10" xfId="19" applyNumberFormat="1" applyFont="1" applyFill="1" applyBorder="1" applyAlignment="1" applyProtection="1">
      <alignment horizontal="right" vertical="center"/>
      <protection/>
    </xf>
    <xf numFmtId="49" fontId="1" fillId="0" borderId="0" xfId="17" applyFont="1" applyBorder="1">
      <alignment vertical="top"/>
      <protection/>
    </xf>
    <xf numFmtId="49" fontId="1" fillId="0" borderId="0" xfId="17" applyFont="1" applyBorder="1" applyAlignment="1">
      <alignment horizontal="right" vertical="center"/>
      <protection/>
    </xf>
    <xf numFmtId="49" fontId="1" fillId="0" borderId="2" xfId="17" applyFont="1" applyBorder="1" applyAlignment="1">
      <alignment horizontal="center" vertical="center" wrapText="1"/>
      <protection/>
    </xf>
    <xf numFmtId="49" fontId="1" fillId="0" borderId="1" xfId="17" applyFont="1" applyBorder="1" applyAlignment="1">
      <alignment horizontal="center" vertical="center" wrapText="1"/>
      <protection/>
    </xf>
    <xf numFmtId="49" fontId="1" fillId="0" borderId="3" xfId="17" applyFont="1" applyBorder="1" applyAlignment="1">
      <alignment horizontal="center" vertical="center" wrapText="1"/>
      <protection/>
    </xf>
    <xf numFmtId="49" fontId="1" fillId="0" borderId="4" xfId="17" applyFont="1" applyBorder="1" applyAlignment="1">
      <alignment horizontal="center" vertical="center" wrapText="1"/>
      <protection/>
    </xf>
    <xf numFmtId="49" fontId="1" fillId="0" borderId="5" xfId="17" applyFont="1" applyBorder="1" applyAlignment="1">
      <alignment horizontal="center" vertical="center" wrapText="1"/>
      <protection/>
    </xf>
    <xf numFmtId="49" fontId="1" fillId="0" borderId="8" xfId="17" applyFont="1" applyBorder="1" applyAlignment="1">
      <alignment horizontal="center" vertical="center" wrapText="1"/>
      <protection/>
    </xf>
    <xf numFmtId="49" fontId="1" fillId="0" borderId="2" xfId="17" applyFont="1" applyBorder="1" applyAlignment="1">
      <alignment vertical="center" wrapText="1"/>
      <protection/>
    </xf>
    <xf numFmtId="180" fontId="8" fillId="2" borderId="2" xfId="19" applyNumberFormat="1" applyFont="1" applyFill="1" applyBorder="1" applyAlignment="1" applyProtection="1">
      <alignment horizontal="center" vertical="center" wrapText="1"/>
      <protection locked="0"/>
    </xf>
    <xf numFmtId="180" fontId="8" fillId="2" borderId="2" xfId="19" applyNumberFormat="1" applyFont="1" applyFill="1" applyBorder="1" applyAlignment="1" applyProtection="1">
      <alignment horizontal="center" vertical="center"/>
      <protection locked="0"/>
    </xf>
    <xf numFmtId="180" fontId="8" fillId="2" borderId="2" xfId="19" applyNumberFormat="1" applyFont="1" applyFill="1" applyBorder="1" applyAlignment="1" applyProtection="1">
      <alignment horizontal="center"/>
      <protection locked="0"/>
    </xf>
    <xf numFmtId="49" fontId="1" fillId="0" borderId="6" xfId="17" applyFont="1" applyFill="1" applyBorder="1" applyAlignment="1" applyProtection="1">
      <alignment horizontal="center" vertical="center" wrapText="1"/>
      <protection/>
    </xf>
    <xf numFmtId="49" fontId="1" fillId="0" borderId="1" xfId="17" applyFont="1" applyFill="1" applyBorder="1" applyAlignment="1" applyProtection="1">
      <alignment horizontal="center" vertical="center" wrapText="1"/>
      <protection/>
    </xf>
    <xf numFmtId="49" fontId="1" fillId="0" borderId="9" xfId="17" applyFont="1" applyFill="1" applyBorder="1" applyAlignment="1" applyProtection="1">
      <alignment horizontal="center" vertical="center" wrapText="1"/>
      <protection/>
    </xf>
    <xf numFmtId="49" fontId="1" fillId="0" borderId="7" xfId="17" applyFont="1" applyFill="1" applyBorder="1" applyAlignment="1" applyProtection="1">
      <alignment horizontal="center" vertical="center" wrapText="1"/>
      <protection/>
    </xf>
    <xf numFmtId="49" fontId="1" fillId="0" borderId="8" xfId="17" applyFont="1" applyFill="1" applyBorder="1" applyAlignment="1" applyProtection="1">
      <alignment horizontal="center" vertical="center" wrapText="1"/>
      <protection/>
    </xf>
    <xf numFmtId="180" fontId="1" fillId="2" borderId="2" xfId="19" applyNumberFormat="1" applyFont="1" applyFill="1" applyBorder="1" applyAlignment="1" applyProtection="1">
      <alignment horizontal="right"/>
      <protection locked="0"/>
    </xf>
    <xf numFmtId="180" fontId="1" fillId="2" borderId="6" xfId="19" applyNumberFormat="1" applyFont="1" applyFill="1" applyBorder="1" applyAlignment="1" applyProtection="1">
      <alignment horizontal="right"/>
      <protection locked="0"/>
    </xf>
    <xf numFmtId="180" fontId="1" fillId="2" borderId="7" xfId="19" applyNumberFormat="1" applyFont="1" applyFill="1" applyBorder="1" applyAlignment="1" applyProtection="1">
      <alignment horizontal="right"/>
      <protection locked="0"/>
    </xf>
    <xf numFmtId="180" fontId="1" fillId="2" borderId="1" xfId="19" applyNumberFormat="1" applyFont="1" applyFill="1" applyBorder="1" applyAlignment="1" applyProtection="1">
      <alignment horizontal="right"/>
      <protection locked="0"/>
    </xf>
    <xf numFmtId="180" fontId="1" fillId="2" borderId="3" xfId="19" applyNumberFormat="1" applyFont="1" applyFill="1" applyBorder="1" applyAlignment="1" applyProtection="1">
      <alignment horizontal="right"/>
      <protection locked="0"/>
    </xf>
    <xf numFmtId="180" fontId="1" fillId="2" borderId="4" xfId="19" applyNumberFormat="1" applyFont="1" applyFill="1" applyBorder="1" applyAlignment="1" applyProtection="1">
      <alignment horizontal="right"/>
      <protection locked="0"/>
    </xf>
    <xf numFmtId="180" fontId="1" fillId="2" borderId="5" xfId="19" applyNumberFormat="1" applyFont="1" applyFill="1" applyBorder="1" applyAlignment="1" applyProtection="1">
      <alignment horizontal="right"/>
      <protection locked="0"/>
    </xf>
    <xf numFmtId="49" fontId="1" fillId="0" borderId="4" xfId="17" applyFont="1" applyBorder="1" applyAlignment="1">
      <alignment vertical="center" wrapText="1"/>
      <protection/>
    </xf>
    <xf numFmtId="180" fontId="8" fillId="2" borderId="4" xfId="19" applyNumberFormat="1" applyFont="1" applyFill="1" applyBorder="1" applyAlignment="1" applyProtection="1">
      <alignment horizontal="center"/>
      <protection locked="0"/>
    </xf>
    <xf numFmtId="180" fontId="1" fillId="2" borderId="8" xfId="19" applyNumberFormat="1" applyFont="1" applyFill="1" applyBorder="1" applyAlignment="1" applyProtection="1">
      <alignment horizontal="right"/>
      <protection locked="0"/>
    </xf>
    <xf numFmtId="180" fontId="1" fillId="2" borderId="9" xfId="19" applyNumberFormat="1" applyFont="1" applyFill="1" applyBorder="1" applyAlignment="1" applyProtection="1">
      <alignment horizontal="right"/>
      <protection locked="0"/>
    </xf>
    <xf numFmtId="180" fontId="1" fillId="2" borderId="10" xfId="19" applyNumberFormat="1" applyFont="1" applyFill="1" applyBorder="1" applyAlignment="1" applyProtection="1">
      <alignment horizontal="right"/>
      <protection locked="0"/>
    </xf>
    <xf numFmtId="0" fontId="1" fillId="0" borderId="0" xfId="20" applyFont="1" applyProtection="1">
      <alignment/>
      <protection/>
    </xf>
    <xf numFmtId="49" fontId="1" fillId="0" borderId="0" xfId="20" applyNumberFormat="1" applyFont="1" applyProtection="1">
      <alignment/>
      <protection/>
    </xf>
    <xf numFmtId="0" fontId="1" fillId="0" borderId="0" xfId="20" applyFont="1" applyBorder="1" applyProtection="1">
      <alignment/>
      <protection/>
    </xf>
    <xf numFmtId="0" fontId="3" fillId="0" borderId="0" xfId="19" applyFont="1" applyAlignment="1" applyProtection="1">
      <alignment horizontal="center" vertical="center"/>
      <protection/>
    </xf>
    <xf numFmtId="0" fontId="1" fillId="0" borderId="1" xfId="20" applyFont="1" applyBorder="1" applyProtection="1">
      <alignment/>
      <protection/>
    </xf>
    <xf numFmtId="0" fontId="1" fillId="0" borderId="0" xfId="20" applyFont="1" applyBorder="1" applyAlignment="1" applyProtection="1">
      <alignment vertical="center"/>
      <protection/>
    </xf>
    <xf numFmtId="0" fontId="1" fillId="0" borderId="2" xfId="20" applyFont="1" applyFill="1" applyBorder="1" applyAlignment="1" applyProtection="1">
      <alignment horizontal="center" vertical="center" wrapText="1"/>
      <protection/>
    </xf>
    <xf numFmtId="0" fontId="1" fillId="0" borderId="3" xfId="2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/>
      <protection/>
    </xf>
    <xf numFmtId="180" fontId="1" fillId="3" borderId="2" xfId="17" applyNumberFormat="1" applyFont="1" applyFill="1" applyBorder="1" applyAlignment="1" applyProtection="1">
      <alignment horizontal="right" vertical="center" wrapText="1"/>
      <protection/>
    </xf>
    <xf numFmtId="180" fontId="1" fillId="3" borderId="3" xfId="17" applyNumberFormat="1" applyFont="1" applyFill="1" applyBorder="1" applyAlignment="1" applyProtection="1">
      <alignment horizontal="right" vertical="center" wrapText="1"/>
      <protection/>
    </xf>
    <xf numFmtId="180" fontId="1" fillId="2" borderId="2" xfId="17" applyNumberFormat="1" applyFont="1" applyFill="1" applyBorder="1" applyAlignment="1" applyProtection="1">
      <alignment horizontal="right" vertical="center" wrapText="1"/>
      <protection locked="0"/>
    </xf>
    <xf numFmtId="4" fontId="1" fillId="0" borderId="2" xfId="17" applyNumberFormat="1" applyFont="1" applyBorder="1" applyAlignment="1">
      <alignment horizontal="center" vertical="center" wrapText="1"/>
      <protection/>
    </xf>
    <xf numFmtId="4" fontId="1" fillId="0" borderId="3" xfId="17" applyNumberFormat="1" applyFont="1" applyBorder="1" applyAlignment="1">
      <alignment horizontal="center" vertical="center" wrapText="1"/>
      <protection/>
    </xf>
    <xf numFmtId="180" fontId="1" fillId="2" borderId="3" xfId="17" applyNumberFormat="1" applyFont="1" applyFill="1" applyBorder="1" applyAlignment="1" applyProtection="1">
      <alignment horizontal="right" vertical="center" wrapText="1"/>
      <protection locked="0"/>
    </xf>
    <xf numFmtId="4" fontId="1" fillId="0" borderId="4" xfId="17" applyNumberFormat="1" applyFont="1" applyBorder="1" applyAlignment="1">
      <alignment horizontal="center" vertical="center" wrapText="1"/>
      <protection/>
    </xf>
    <xf numFmtId="180" fontId="1" fillId="2" borderId="4" xfId="17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17" applyNumberFormat="1" applyFont="1" applyBorder="1" applyAlignment="1">
      <alignment horizontal="center" vertical="center" wrapText="1"/>
      <protection/>
    </xf>
    <xf numFmtId="49" fontId="1" fillId="0" borderId="2" xfId="17" applyFont="1" applyFill="1" applyBorder="1" applyAlignment="1" applyProtection="1">
      <alignment horizontal="center" vertical="center" wrapText="1"/>
      <protection/>
    </xf>
    <xf numFmtId="49" fontId="1" fillId="0" borderId="3" xfId="17" applyFont="1" applyFill="1" applyBorder="1" applyAlignment="1" applyProtection="1">
      <alignment horizontal="center" vertical="center" wrapText="1"/>
      <protection/>
    </xf>
    <xf numFmtId="49" fontId="1" fillId="0" borderId="7" xfId="17" applyFont="1" applyBorder="1" applyAlignment="1">
      <alignment horizontal="center" vertical="center" wrapText="1"/>
      <protection/>
    </xf>
    <xf numFmtId="49" fontId="1" fillId="0" borderId="2" xfId="17" applyFont="1" applyBorder="1" applyAlignment="1">
      <alignment horizontal="center" vertical="center" wrapText="1"/>
      <protection/>
    </xf>
    <xf numFmtId="49" fontId="1" fillId="0" borderId="6" xfId="17" applyFont="1" applyBorder="1" applyAlignment="1">
      <alignment horizontal="center" vertical="center" wrapText="1"/>
      <protection/>
    </xf>
    <xf numFmtId="49" fontId="1" fillId="0" borderId="1" xfId="17" applyFont="1" applyBorder="1" applyAlignment="1">
      <alignment horizontal="center" vertical="center" wrapText="1"/>
      <protection/>
    </xf>
    <xf numFmtId="49" fontId="1" fillId="0" borderId="3" xfId="17" applyFont="1" applyBorder="1" applyAlignment="1">
      <alignment horizontal="center" vertical="center" wrapText="1"/>
      <protection/>
    </xf>
    <xf numFmtId="0" fontId="1" fillId="0" borderId="0" xfId="19" applyFont="1" applyBorder="1" applyAlignment="1" applyProtection="1">
      <alignment horizontal="left" vertical="center"/>
      <protection/>
    </xf>
    <xf numFmtId="49" fontId="1" fillId="0" borderId="4" xfId="17" applyFont="1" applyBorder="1" applyAlignment="1">
      <alignment horizontal="center" vertical="center" wrapText="1"/>
      <protection/>
    </xf>
    <xf numFmtId="49" fontId="1" fillId="0" borderId="5" xfId="17" applyFont="1" applyBorder="1" applyAlignment="1">
      <alignment horizontal="center" vertical="center" wrapText="1"/>
      <protection/>
    </xf>
  </cellXfs>
  <cellStyles count="11">
    <cellStyle name="Normal" xfId="0"/>
    <cellStyle name="Currency" xfId="15"/>
    <cellStyle name="Currency [0]" xfId="16"/>
    <cellStyle name="Обычный 10" xfId="17"/>
    <cellStyle name="Обычный_Полезный отпуск электроэнергии и мощности, реализуемой по нерегулируемым ценам" xfId="18"/>
    <cellStyle name="Обычный_Полезный отпуск электроэнергии и мощности, реализуемой по регулируемым ценам" xfId="19"/>
    <cellStyle name="Обычный_Продажа" xfId="20"/>
    <cellStyle name="Обычный_Шаблон по источникам для Модуля Реестр (2)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&#1084;&#1072;&#1081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workbookViewId="0" topLeftCell="C7">
      <selection activeCell="D8" sqref="D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126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tr">
        <f>IF(org="","Не определено",org)</f>
        <v>МП "Салехардэнерго"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32"/>
      <c r="E11" s="32"/>
      <c r="F11" s="32"/>
      <c r="G11" s="32"/>
      <c r="H11" s="32"/>
      <c r="I11" s="32"/>
      <c r="J11" s="32"/>
      <c r="K11" s="32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92" t="s">
        <v>2</v>
      </c>
      <c r="E12" s="92" t="s">
        <v>3</v>
      </c>
      <c r="F12" s="92" t="s">
        <v>4</v>
      </c>
      <c r="G12" s="92"/>
      <c r="H12" s="92"/>
      <c r="I12" s="92"/>
      <c r="J12" s="92"/>
      <c r="K12" s="92"/>
      <c r="L12" s="57"/>
      <c r="M12" s="60" t="s">
        <v>5</v>
      </c>
      <c r="N12" s="92"/>
      <c r="O12" s="92"/>
      <c r="P12" s="92"/>
      <c r="Q12" s="92"/>
      <c r="R12" s="92"/>
      <c r="S12" s="57"/>
      <c r="T12" s="60" t="s">
        <v>6</v>
      </c>
      <c r="U12" s="92"/>
      <c r="V12" s="92"/>
      <c r="W12" s="92"/>
      <c r="X12" s="92"/>
      <c r="Y12" s="92"/>
      <c r="Z12" s="57"/>
      <c r="AA12" s="60" t="s">
        <v>7</v>
      </c>
      <c r="AB12" s="92"/>
      <c r="AC12" s="92"/>
      <c r="AD12" s="92"/>
      <c r="AE12" s="92"/>
      <c r="AF12" s="92"/>
      <c r="AG12" s="57"/>
      <c r="AH12" s="60" t="s">
        <v>8</v>
      </c>
      <c r="AI12" s="92"/>
      <c r="AJ12" s="92"/>
      <c r="AK12" s="92"/>
      <c r="AL12" s="92"/>
      <c r="AM12" s="92"/>
      <c r="AN12" s="57"/>
      <c r="AO12" s="60" t="s">
        <v>9</v>
      </c>
      <c r="AP12" s="92"/>
      <c r="AQ12" s="92"/>
      <c r="AR12" s="92"/>
      <c r="AS12" s="92"/>
      <c r="AT12" s="92"/>
      <c r="AU12" s="57"/>
      <c r="AV12" s="60" t="s">
        <v>10</v>
      </c>
      <c r="AW12" s="92"/>
      <c r="AX12" s="92"/>
      <c r="AY12" s="92"/>
      <c r="AZ12" s="92"/>
      <c r="BA12" s="92"/>
      <c r="BB12" s="57"/>
      <c r="BC12" s="60" t="s">
        <v>11</v>
      </c>
      <c r="BD12" s="92"/>
      <c r="BE12" s="92"/>
      <c r="BF12" s="92"/>
      <c r="BG12" s="92"/>
      <c r="BH12" s="92"/>
      <c r="BI12" s="57"/>
      <c r="BJ12" s="60" t="s">
        <v>12</v>
      </c>
      <c r="BK12" s="92"/>
      <c r="BL12" s="92"/>
      <c r="BM12" s="92"/>
      <c r="BN12" s="92"/>
      <c r="BO12" s="92"/>
      <c r="BP12" s="57"/>
      <c r="BQ12" s="60" t="s">
        <v>13</v>
      </c>
      <c r="BR12" s="92"/>
      <c r="BS12" s="92"/>
      <c r="BT12" s="92"/>
      <c r="BU12" s="92"/>
      <c r="BV12" s="92"/>
      <c r="BW12" s="57"/>
      <c r="BX12" s="58" t="s">
        <v>14</v>
      </c>
      <c r="BY12" s="92"/>
      <c r="BZ12" s="92"/>
      <c r="CA12" s="92"/>
      <c r="CB12" s="92"/>
      <c r="CC12" s="92"/>
      <c r="CD12" s="57"/>
      <c r="CE12" s="58" t="s">
        <v>15</v>
      </c>
      <c r="CF12" s="92"/>
      <c r="CG12" s="92"/>
      <c r="CH12" s="92"/>
      <c r="CI12" s="92"/>
      <c r="CJ12" s="92"/>
      <c r="CK12" s="93"/>
    </row>
    <row r="13" spans="3:89" ht="15" customHeight="1">
      <c r="C13" s="5"/>
      <c r="D13" s="92"/>
      <c r="E13" s="92"/>
      <c r="F13" s="92" t="s">
        <v>16</v>
      </c>
      <c r="G13" s="92" t="s">
        <v>17</v>
      </c>
      <c r="H13" s="92"/>
      <c r="I13" s="92"/>
      <c r="J13" s="92"/>
      <c r="K13" s="92"/>
      <c r="L13" s="57"/>
      <c r="M13" s="60" t="s">
        <v>16</v>
      </c>
      <c r="N13" s="92" t="s">
        <v>17</v>
      </c>
      <c r="O13" s="92"/>
      <c r="P13" s="92"/>
      <c r="Q13" s="92"/>
      <c r="R13" s="92"/>
      <c r="S13" s="57"/>
      <c r="T13" s="60" t="s">
        <v>16</v>
      </c>
      <c r="U13" s="92" t="s">
        <v>17</v>
      </c>
      <c r="V13" s="92"/>
      <c r="W13" s="92"/>
      <c r="X13" s="92"/>
      <c r="Y13" s="92"/>
      <c r="Z13" s="57"/>
      <c r="AA13" s="60" t="s">
        <v>16</v>
      </c>
      <c r="AB13" s="92" t="s">
        <v>17</v>
      </c>
      <c r="AC13" s="92"/>
      <c r="AD13" s="92"/>
      <c r="AE13" s="92"/>
      <c r="AF13" s="92"/>
      <c r="AG13" s="57"/>
      <c r="AH13" s="60" t="s">
        <v>16</v>
      </c>
      <c r="AI13" s="92" t="s">
        <v>17</v>
      </c>
      <c r="AJ13" s="92"/>
      <c r="AK13" s="92"/>
      <c r="AL13" s="92"/>
      <c r="AM13" s="92"/>
      <c r="AN13" s="57"/>
      <c r="AO13" s="60" t="s">
        <v>16</v>
      </c>
      <c r="AP13" s="92" t="s">
        <v>17</v>
      </c>
      <c r="AQ13" s="92"/>
      <c r="AR13" s="92"/>
      <c r="AS13" s="92"/>
      <c r="AT13" s="92"/>
      <c r="AU13" s="57"/>
      <c r="AV13" s="60" t="s">
        <v>16</v>
      </c>
      <c r="AW13" s="92" t="s">
        <v>17</v>
      </c>
      <c r="AX13" s="92"/>
      <c r="AY13" s="92"/>
      <c r="AZ13" s="92"/>
      <c r="BA13" s="92"/>
      <c r="BB13" s="57"/>
      <c r="BC13" s="60" t="s">
        <v>16</v>
      </c>
      <c r="BD13" s="92" t="s">
        <v>17</v>
      </c>
      <c r="BE13" s="92"/>
      <c r="BF13" s="92"/>
      <c r="BG13" s="92"/>
      <c r="BH13" s="92"/>
      <c r="BI13" s="57"/>
      <c r="BJ13" s="60" t="s">
        <v>16</v>
      </c>
      <c r="BK13" s="92" t="s">
        <v>17</v>
      </c>
      <c r="BL13" s="92"/>
      <c r="BM13" s="92"/>
      <c r="BN13" s="92"/>
      <c r="BO13" s="92"/>
      <c r="BP13" s="57"/>
      <c r="BQ13" s="60" t="s">
        <v>16</v>
      </c>
      <c r="BR13" s="92" t="s">
        <v>17</v>
      </c>
      <c r="BS13" s="92"/>
      <c r="BT13" s="92"/>
      <c r="BU13" s="92"/>
      <c r="BV13" s="92"/>
      <c r="BW13" s="57"/>
      <c r="BX13" s="58" t="s">
        <v>16</v>
      </c>
      <c r="BY13" s="92" t="s">
        <v>17</v>
      </c>
      <c r="BZ13" s="92"/>
      <c r="CA13" s="92"/>
      <c r="CB13" s="92"/>
      <c r="CC13" s="92"/>
      <c r="CD13" s="57"/>
      <c r="CE13" s="58" t="s">
        <v>16</v>
      </c>
      <c r="CF13" s="92" t="s">
        <v>17</v>
      </c>
      <c r="CG13" s="92"/>
      <c r="CH13" s="92"/>
      <c r="CI13" s="92"/>
      <c r="CJ13" s="92"/>
      <c r="CK13" s="93"/>
    </row>
    <row r="14" spans="3:89" ht="15" customHeight="1">
      <c r="C14" s="5"/>
      <c r="D14" s="92"/>
      <c r="E14" s="92"/>
      <c r="F14" s="31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61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61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61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61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61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61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61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61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61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59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58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I25</f>
        <v>13.855</v>
      </c>
      <c r="G25" s="23"/>
      <c r="H25" s="23"/>
      <c r="I25" s="23">
        <f>13855/1000</f>
        <v>13.855</v>
      </c>
      <c r="J25" s="23"/>
      <c r="K25" s="23"/>
      <c r="L25" s="24"/>
      <c r="M25" s="25">
        <f>P25</f>
        <v>64.89682</v>
      </c>
      <c r="N25" s="23"/>
      <c r="O25" s="23"/>
      <c r="P25" s="23">
        <f>64896.82/1000</f>
        <v>64.89682</v>
      </c>
      <c r="Q25" s="23"/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4363.615</v>
      </c>
      <c r="G28" s="23"/>
      <c r="H28" s="23"/>
      <c r="I28" s="23">
        <f>972993/1000</f>
        <v>972.993</v>
      </c>
      <c r="J28" s="23">
        <f>(3457824+120+58+550-67930)/1000</f>
        <v>3390.622</v>
      </c>
      <c r="K28" s="23"/>
      <c r="L28" s="24"/>
      <c r="M28" s="25">
        <f>P28+Q28</f>
        <v>20442.55313</v>
      </c>
      <c r="N28" s="23"/>
      <c r="O28" s="23"/>
      <c r="P28" s="23">
        <f>4557499.23/1000</f>
        <v>4557.49923</v>
      </c>
      <c r="Q28" s="23">
        <f>(16199906.31+648.72+174.17+2576.75-318252.05)/1000</f>
        <v>15885.0539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67.93</v>
      </c>
      <c r="G29" s="23"/>
      <c r="H29" s="23"/>
      <c r="I29" s="23"/>
      <c r="J29" s="23">
        <f>67930/1000</f>
        <v>67.93</v>
      </c>
      <c r="K29" s="23"/>
      <c r="L29" s="24"/>
      <c r="M29" s="25">
        <f>Q29</f>
        <v>318.25205</v>
      </c>
      <c r="N29" s="23"/>
      <c r="O29" s="23"/>
      <c r="P29" s="23"/>
      <c r="Q29" s="23">
        <f>318252.05/1000</f>
        <v>318.25205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4114.59</v>
      </c>
      <c r="G30" s="23"/>
      <c r="H30" s="23"/>
      <c r="I30" s="23">
        <f>2068/1000</f>
        <v>2.068</v>
      </c>
      <c r="J30" s="23">
        <f>(4128445-2068-13855)/1000</f>
        <v>4112.522</v>
      </c>
      <c r="K30" s="23"/>
      <c r="L30" s="24"/>
      <c r="M30" s="25">
        <f>P30+Q30</f>
        <v>19276.85235</v>
      </c>
      <c r="N30" s="23"/>
      <c r="O30" s="23"/>
      <c r="P30" s="23">
        <f>9686.51/1000</f>
        <v>9.68651</v>
      </c>
      <c r="Q30" s="23">
        <f>(19341749.17-9686.51-64896.82)/1000</f>
        <v>19267.16584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3"/>
      <c r="N34" s="29"/>
      <c r="O34" s="29"/>
      <c r="P34" s="29"/>
      <c r="Q34" s="29"/>
      <c r="R34" s="29"/>
      <c r="S34" s="30"/>
      <c r="T34" s="33"/>
      <c r="U34" s="29"/>
      <c r="V34" s="29"/>
      <c r="W34" s="29"/>
      <c r="X34" s="29"/>
      <c r="Y34" s="29"/>
      <c r="Z34" s="30"/>
      <c r="AA34" s="33"/>
      <c r="AB34" s="29"/>
      <c r="AC34" s="29"/>
      <c r="AD34" s="29"/>
      <c r="AE34" s="29"/>
      <c r="AF34" s="29"/>
      <c r="AG34" s="30"/>
      <c r="AH34" s="33"/>
      <c r="AI34" s="29"/>
      <c r="AJ34" s="29"/>
      <c r="AK34" s="29"/>
      <c r="AL34" s="29"/>
      <c r="AM34" s="29"/>
      <c r="AN34" s="30"/>
      <c r="AO34" s="33"/>
      <c r="AP34" s="29"/>
      <c r="AQ34" s="29"/>
      <c r="AR34" s="29"/>
      <c r="AS34" s="29"/>
      <c r="AT34" s="29"/>
      <c r="AU34" s="30"/>
      <c r="AV34" s="33"/>
      <c r="AW34" s="29"/>
      <c r="AX34" s="29"/>
      <c r="AY34" s="29"/>
      <c r="AZ34" s="29"/>
      <c r="BA34" s="29"/>
      <c r="BB34" s="30"/>
      <c r="BC34" s="33"/>
      <c r="BD34" s="29"/>
      <c r="BE34" s="29"/>
      <c r="BF34" s="29"/>
      <c r="BG34" s="29"/>
      <c r="BH34" s="29"/>
      <c r="BI34" s="30"/>
      <c r="BJ34" s="33"/>
      <c r="BK34" s="29"/>
      <c r="BL34" s="29"/>
      <c r="BM34" s="29"/>
      <c r="BN34" s="29"/>
      <c r="BO34" s="29"/>
      <c r="BP34" s="30"/>
      <c r="BQ34" s="33"/>
      <c r="BR34" s="29"/>
      <c r="BS34" s="29"/>
      <c r="BT34" s="29"/>
      <c r="BU34" s="29"/>
      <c r="BV34" s="29"/>
      <c r="BW34" s="30"/>
      <c r="BX34" s="34"/>
      <c r="BY34" s="29"/>
      <c r="BZ34" s="29"/>
      <c r="CA34" s="29"/>
      <c r="CB34" s="29"/>
      <c r="CC34" s="29"/>
      <c r="CD34" s="30"/>
      <c r="CE34" s="34"/>
      <c r="CF34" s="29"/>
      <c r="CG34" s="29"/>
      <c r="CH34" s="29"/>
      <c r="CI34" s="29"/>
      <c r="CJ34" s="29"/>
      <c r="CK34" s="35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3"/>
      <c r="N35" s="29"/>
      <c r="O35" s="29"/>
      <c r="P35" s="29"/>
      <c r="Q35" s="29"/>
      <c r="R35" s="29"/>
      <c r="S35" s="30"/>
      <c r="T35" s="33"/>
      <c r="U35" s="29"/>
      <c r="V35" s="29"/>
      <c r="W35" s="29"/>
      <c r="X35" s="29"/>
      <c r="Y35" s="29"/>
      <c r="Z35" s="30"/>
      <c r="AA35" s="33"/>
      <c r="AB35" s="29"/>
      <c r="AC35" s="29"/>
      <c r="AD35" s="29"/>
      <c r="AE35" s="29"/>
      <c r="AF35" s="29"/>
      <c r="AG35" s="30"/>
      <c r="AH35" s="33"/>
      <c r="AI35" s="29"/>
      <c r="AJ35" s="29"/>
      <c r="AK35" s="29"/>
      <c r="AL35" s="29"/>
      <c r="AM35" s="29"/>
      <c r="AN35" s="30"/>
      <c r="AO35" s="33"/>
      <c r="AP35" s="29"/>
      <c r="AQ35" s="29"/>
      <c r="AR35" s="29"/>
      <c r="AS35" s="29"/>
      <c r="AT35" s="29"/>
      <c r="AU35" s="30"/>
      <c r="AV35" s="33"/>
      <c r="AW35" s="29"/>
      <c r="AX35" s="29"/>
      <c r="AY35" s="29"/>
      <c r="AZ35" s="29"/>
      <c r="BA35" s="29"/>
      <c r="BB35" s="30"/>
      <c r="BC35" s="33"/>
      <c r="BD35" s="29"/>
      <c r="BE35" s="29"/>
      <c r="BF35" s="29"/>
      <c r="BG35" s="29"/>
      <c r="BH35" s="29"/>
      <c r="BI35" s="30"/>
      <c r="BJ35" s="33"/>
      <c r="BK35" s="29"/>
      <c r="BL35" s="29"/>
      <c r="BM35" s="29"/>
      <c r="BN35" s="29"/>
      <c r="BO35" s="29"/>
      <c r="BP35" s="30"/>
      <c r="BQ35" s="33"/>
      <c r="BR35" s="29"/>
      <c r="BS35" s="29"/>
      <c r="BT35" s="29"/>
      <c r="BU35" s="29"/>
      <c r="BV35" s="29"/>
      <c r="BW35" s="30"/>
      <c r="BX35" s="34"/>
      <c r="BY35" s="29"/>
      <c r="BZ35" s="29"/>
      <c r="CA35" s="29"/>
      <c r="CB35" s="29"/>
      <c r="CC35" s="29"/>
      <c r="CD35" s="30"/>
      <c r="CE35" s="34"/>
      <c r="CF35" s="29"/>
      <c r="CG35" s="29"/>
      <c r="CH35" s="29"/>
      <c r="CI35" s="29"/>
      <c r="CJ35" s="29"/>
      <c r="CK35" s="35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3"/>
      <c r="N36" s="29"/>
      <c r="O36" s="29"/>
      <c r="P36" s="29"/>
      <c r="Q36" s="29"/>
      <c r="R36" s="29"/>
      <c r="S36" s="30"/>
      <c r="T36" s="33"/>
      <c r="U36" s="29"/>
      <c r="V36" s="29"/>
      <c r="W36" s="29"/>
      <c r="X36" s="29"/>
      <c r="Y36" s="29"/>
      <c r="Z36" s="30"/>
      <c r="AA36" s="33"/>
      <c r="AB36" s="29"/>
      <c r="AC36" s="29"/>
      <c r="AD36" s="29"/>
      <c r="AE36" s="29"/>
      <c r="AF36" s="29"/>
      <c r="AG36" s="30"/>
      <c r="AH36" s="33"/>
      <c r="AI36" s="29"/>
      <c r="AJ36" s="29"/>
      <c r="AK36" s="29"/>
      <c r="AL36" s="29"/>
      <c r="AM36" s="29"/>
      <c r="AN36" s="30"/>
      <c r="AO36" s="33"/>
      <c r="AP36" s="29"/>
      <c r="AQ36" s="29"/>
      <c r="AR36" s="29"/>
      <c r="AS36" s="29"/>
      <c r="AT36" s="29"/>
      <c r="AU36" s="30"/>
      <c r="AV36" s="33"/>
      <c r="AW36" s="29"/>
      <c r="AX36" s="29"/>
      <c r="AY36" s="29"/>
      <c r="AZ36" s="29"/>
      <c r="BA36" s="29"/>
      <c r="BB36" s="30"/>
      <c r="BC36" s="33"/>
      <c r="BD36" s="29"/>
      <c r="BE36" s="29"/>
      <c r="BF36" s="29"/>
      <c r="BG36" s="29"/>
      <c r="BH36" s="29"/>
      <c r="BI36" s="30"/>
      <c r="BJ36" s="33"/>
      <c r="BK36" s="29"/>
      <c r="BL36" s="29"/>
      <c r="BM36" s="29"/>
      <c r="BN36" s="29"/>
      <c r="BO36" s="29"/>
      <c r="BP36" s="30"/>
      <c r="BQ36" s="33"/>
      <c r="BR36" s="29"/>
      <c r="BS36" s="29"/>
      <c r="BT36" s="29"/>
      <c r="BU36" s="29"/>
      <c r="BV36" s="29"/>
      <c r="BW36" s="30"/>
      <c r="BX36" s="34"/>
      <c r="BY36" s="29"/>
      <c r="BZ36" s="29"/>
      <c r="CA36" s="29"/>
      <c r="CB36" s="29"/>
      <c r="CC36" s="29"/>
      <c r="CD36" s="30"/>
      <c r="CE36" s="34"/>
      <c r="CF36" s="29"/>
      <c r="CG36" s="29"/>
      <c r="CH36" s="29"/>
      <c r="CI36" s="29"/>
      <c r="CJ36" s="29"/>
      <c r="CK36" s="35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3"/>
      <c r="N37" s="29"/>
      <c r="O37" s="29"/>
      <c r="P37" s="29"/>
      <c r="Q37" s="29"/>
      <c r="R37" s="29"/>
      <c r="S37" s="30"/>
      <c r="T37" s="33"/>
      <c r="U37" s="29"/>
      <c r="V37" s="29"/>
      <c r="W37" s="29"/>
      <c r="X37" s="29"/>
      <c r="Y37" s="29"/>
      <c r="Z37" s="30"/>
      <c r="AA37" s="33"/>
      <c r="AB37" s="29"/>
      <c r="AC37" s="29"/>
      <c r="AD37" s="29"/>
      <c r="AE37" s="29"/>
      <c r="AF37" s="29"/>
      <c r="AG37" s="30"/>
      <c r="AH37" s="33"/>
      <c r="AI37" s="29"/>
      <c r="AJ37" s="29"/>
      <c r="AK37" s="29"/>
      <c r="AL37" s="29"/>
      <c r="AM37" s="29"/>
      <c r="AN37" s="30"/>
      <c r="AO37" s="33"/>
      <c r="AP37" s="29"/>
      <c r="AQ37" s="29"/>
      <c r="AR37" s="29"/>
      <c r="AS37" s="29"/>
      <c r="AT37" s="29"/>
      <c r="AU37" s="30"/>
      <c r="AV37" s="33"/>
      <c r="AW37" s="29"/>
      <c r="AX37" s="29"/>
      <c r="AY37" s="29"/>
      <c r="AZ37" s="29"/>
      <c r="BA37" s="29"/>
      <c r="BB37" s="30"/>
      <c r="BC37" s="33"/>
      <c r="BD37" s="29"/>
      <c r="BE37" s="29"/>
      <c r="BF37" s="29"/>
      <c r="BG37" s="29"/>
      <c r="BH37" s="29"/>
      <c r="BI37" s="30"/>
      <c r="BJ37" s="33"/>
      <c r="BK37" s="29"/>
      <c r="BL37" s="29"/>
      <c r="BM37" s="29"/>
      <c r="BN37" s="29"/>
      <c r="BO37" s="29"/>
      <c r="BP37" s="30"/>
      <c r="BQ37" s="33"/>
      <c r="BR37" s="29"/>
      <c r="BS37" s="29"/>
      <c r="BT37" s="29"/>
      <c r="BU37" s="29"/>
      <c r="BV37" s="29"/>
      <c r="BW37" s="30"/>
      <c r="BX37" s="34"/>
      <c r="BY37" s="29"/>
      <c r="BZ37" s="29"/>
      <c r="CA37" s="29"/>
      <c r="CB37" s="29"/>
      <c r="CC37" s="29"/>
      <c r="CD37" s="30"/>
      <c r="CE37" s="34"/>
      <c r="CF37" s="29"/>
      <c r="CG37" s="29"/>
      <c r="CH37" s="29"/>
      <c r="CI37" s="29"/>
      <c r="CJ37" s="29"/>
      <c r="CK37" s="35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3"/>
      <c r="N38" s="29"/>
      <c r="O38" s="29"/>
      <c r="P38" s="29"/>
      <c r="Q38" s="29"/>
      <c r="R38" s="29"/>
      <c r="S38" s="30"/>
      <c r="T38" s="33"/>
      <c r="U38" s="29"/>
      <c r="V38" s="29"/>
      <c r="W38" s="29"/>
      <c r="X38" s="29"/>
      <c r="Y38" s="29"/>
      <c r="Z38" s="30"/>
      <c r="AA38" s="33"/>
      <c r="AB38" s="29"/>
      <c r="AC38" s="29"/>
      <c r="AD38" s="29"/>
      <c r="AE38" s="29"/>
      <c r="AF38" s="29"/>
      <c r="AG38" s="30"/>
      <c r="AH38" s="33"/>
      <c r="AI38" s="29"/>
      <c r="AJ38" s="29"/>
      <c r="AK38" s="29"/>
      <c r="AL38" s="29"/>
      <c r="AM38" s="29"/>
      <c r="AN38" s="30"/>
      <c r="AO38" s="33"/>
      <c r="AP38" s="29"/>
      <c r="AQ38" s="29"/>
      <c r="AR38" s="29"/>
      <c r="AS38" s="29"/>
      <c r="AT38" s="29"/>
      <c r="AU38" s="30"/>
      <c r="AV38" s="33"/>
      <c r="AW38" s="29"/>
      <c r="AX38" s="29"/>
      <c r="AY38" s="29"/>
      <c r="AZ38" s="29"/>
      <c r="BA38" s="29"/>
      <c r="BB38" s="30"/>
      <c r="BC38" s="33"/>
      <c r="BD38" s="29"/>
      <c r="BE38" s="29"/>
      <c r="BF38" s="29"/>
      <c r="BG38" s="29"/>
      <c r="BH38" s="29"/>
      <c r="BI38" s="30"/>
      <c r="BJ38" s="33"/>
      <c r="BK38" s="29"/>
      <c r="BL38" s="29"/>
      <c r="BM38" s="29"/>
      <c r="BN38" s="29"/>
      <c r="BO38" s="29"/>
      <c r="BP38" s="30"/>
      <c r="BQ38" s="33"/>
      <c r="BR38" s="29"/>
      <c r="BS38" s="29"/>
      <c r="BT38" s="29"/>
      <c r="BU38" s="29"/>
      <c r="BV38" s="29"/>
      <c r="BW38" s="30"/>
      <c r="BX38" s="34"/>
      <c r="BY38" s="29"/>
      <c r="BZ38" s="29"/>
      <c r="CA38" s="29"/>
      <c r="CB38" s="29"/>
      <c r="CC38" s="29"/>
      <c r="CD38" s="30"/>
      <c r="CE38" s="34"/>
      <c r="CF38" s="29"/>
      <c r="CG38" s="29"/>
      <c r="CH38" s="29"/>
      <c r="CI38" s="29"/>
      <c r="CJ38" s="29"/>
      <c r="CK38" s="35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3"/>
      <c r="N39" s="29"/>
      <c r="O39" s="29"/>
      <c r="P39" s="29"/>
      <c r="Q39" s="29"/>
      <c r="R39" s="29"/>
      <c r="S39" s="30"/>
      <c r="T39" s="33"/>
      <c r="U39" s="29"/>
      <c r="V39" s="29"/>
      <c r="W39" s="29"/>
      <c r="X39" s="29"/>
      <c r="Y39" s="29"/>
      <c r="Z39" s="30"/>
      <c r="AA39" s="33"/>
      <c r="AB39" s="29"/>
      <c r="AC39" s="29"/>
      <c r="AD39" s="29"/>
      <c r="AE39" s="29"/>
      <c r="AF39" s="29"/>
      <c r="AG39" s="30"/>
      <c r="AH39" s="33"/>
      <c r="AI39" s="29"/>
      <c r="AJ39" s="29"/>
      <c r="AK39" s="29"/>
      <c r="AL39" s="29"/>
      <c r="AM39" s="29"/>
      <c r="AN39" s="30"/>
      <c r="AO39" s="33"/>
      <c r="AP39" s="29"/>
      <c r="AQ39" s="29"/>
      <c r="AR39" s="29"/>
      <c r="AS39" s="29"/>
      <c r="AT39" s="29"/>
      <c r="AU39" s="30"/>
      <c r="AV39" s="33"/>
      <c r="AW39" s="29"/>
      <c r="AX39" s="29"/>
      <c r="AY39" s="29"/>
      <c r="AZ39" s="29"/>
      <c r="BA39" s="29"/>
      <c r="BB39" s="30"/>
      <c r="BC39" s="33"/>
      <c r="BD39" s="29"/>
      <c r="BE39" s="29"/>
      <c r="BF39" s="29"/>
      <c r="BG39" s="29"/>
      <c r="BH39" s="29"/>
      <c r="BI39" s="30"/>
      <c r="BJ39" s="33"/>
      <c r="BK39" s="29"/>
      <c r="BL39" s="29"/>
      <c r="BM39" s="29"/>
      <c r="BN39" s="29"/>
      <c r="BO39" s="29"/>
      <c r="BP39" s="30"/>
      <c r="BQ39" s="33"/>
      <c r="BR39" s="29"/>
      <c r="BS39" s="29"/>
      <c r="BT39" s="29"/>
      <c r="BU39" s="29"/>
      <c r="BV39" s="29"/>
      <c r="BW39" s="30"/>
      <c r="BX39" s="34"/>
      <c r="BY39" s="29"/>
      <c r="BZ39" s="29"/>
      <c r="CA39" s="29"/>
      <c r="CB39" s="29"/>
      <c r="CC39" s="29"/>
      <c r="CD39" s="30"/>
      <c r="CE39" s="34"/>
      <c r="CF39" s="29"/>
      <c r="CG39" s="29"/>
      <c r="CH39" s="29"/>
      <c r="CI39" s="29"/>
      <c r="CJ39" s="29"/>
      <c r="CK39" s="35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3"/>
      <c r="N40" s="29"/>
      <c r="O40" s="29"/>
      <c r="P40" s="29"/>
      <c r="Q40" s="29"/>
      <c r="R40" s="29"/>
      <c r="S40" s="30"/>
      <c r="T40" s="33"/>
      <c r="U40" s="29"/>
      <c r="V40" s="29"/>
      <c r="W40" s="29"/>
      <c r="X40" s="29"/>
      <c r="Y40" s="29"/>
      <c r="Z40" s="30"/>
      <c r="AA40" s="33"/>
      <c r="AB40" s="29"/>
      <c r="AC40" s="29"/>
      <c r="AD40" s="29"/>
      <c r="AE40" s="29"/>
      <c r="AF40" s="29"/>
      <c r="AG40" s="30"/>
      <c r="AH40" s="33"/>
      <c r="AI40" s="29"/>
      <c r="AJ40" s="29"/>
      <c r="AK40" s="29"/>
      <c r="AL40" s="29"/>
      <c r="AM40" s="29"/>
      <c r="AN40" s="30"/>
      <c r="AO40" s="33"/>
      <c r="AP40" s="29"/>
      <c r="AQ40" s="29"/>
      <c r="AR40" s="29"/>
      <c r="AS40" s="29"/>
      <c r="AT40" s="29"/>
      <c r="AU40" s="30"/>
      <c r="AV40" s="33"/>
      <c r="AW40" s="29"/>
      <c r="AX40" s="29"/>
      <c r="AY40" s="29"/>
      <c r="AZ40" s="29"/>
      <c r="BA40" s="29"/>
      <c r="BB40" s="30"/>
      <c r="BC40" s="33"/>
      <c r="BD40" s="29"/>
      <c r="BE40" s="29"/>
      <c r="BF40" s="29"/>
      <c r="BG40" s="29"/>
      <c r="BH40" s="29"/>
      <c r="BI40" s="30"/>
      <c r="BJ40" s="33"/>
      <c r="BK40" s="29"/>
      <c r="BL40" s="29"/>
      <c r="BM40" s="29"/>
      <c r="BN40" s="29"/>
      <c r="BO40" s="29"/>
      <c r="BP40" s="30"/>
      <c r="BQ40" s="33"/>
      <c r="BR40" s="29"/>
      <c r="BS40" s="29"/>
      <c r="BT40" s="29"/>
      <c r="BU40" s="29"/>
      <c r="BV40" s="29"/>
      <c r="BW40" s="30"/>
      <c r="BX40" s="34"/>
      <c r="BY40" s="29"/>
      <c r="BZ40" s="29"/>
      <c r="CA40" s="29"/>
      <c r="CB40" s="29"/>
      <c r="CC40" s="29"/>
      <c r="CD40" s="30"/>
      <c r="CE40" s="34"/>
      <c r="CF40" s="29"/>
      <c r="CG40" s="29"/>
      <c r="CH40" s="29"/>
      <c r="CI40" s="29"/>
      <c r="CJ40" s="29"/>
      <c r="CK40" s="35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3"/>
      <c r="N41" s="29"/>
      <c r="O41" s="29"/>
      <c r="P41" s="29"/>
      <c r="Q41" s="29"/>
      <c r="R41" s="29"/>
      <c r="S41" s="30"/>
      <c r="T41" s="33"/>
      <c r="U41" s="29"/>
      <c r="V41" s="29"/>
      <c r="W41" s="29"/>
      <c r="X41" s="29"/>
      <c r="Y41" s="29"/>
      <c r="Z41" s="30"/>
      <c r="AA41" s="33"/>
      <c r="AB41" s="29"/>
      <c r="AC41" s="29"/>
      <c r="AD41" s="29"/>
      <c r="AE41" s="29"/>
      <c r="AF41" s="29"/>
      <c r="AG41" s="30"/>
      <c r="AH41" s="33"/>
      <c r="AI41" s="29"/>
      <c r="AJ41" s="29"/>
      <c r="AK41" s="29"/>
      <c r="AL41" s="29"/>
      <c r="AM41" s="29"/>
      <c r="AN41" s="30"/>
      <c r="AO41" s="33"/>
      <c r="AP41" s="29"/>
      <c r="AQ41" s="29"/>
      <c r="AR41" s="29"/>
      <c r="AS41" s="29"/>
      <c r="AT41" s="29"/>
      <c r="AU41" s="30"/>
      <c r="AV41" s="33"/>
      <c r="AW41" s="29"/>
      <c r="AX41" s="29"/>
      <c r="AY41" s="29"/>
      <c r="AZ41" s="29"/>
      <c r="BA41" s="29"/>
      <c r="BB41" s="30"/>
      <c r="BC41" s="33"/>
      <c r="BD41" s="29"/>
      <c r="BE41" s="29"/>
      <c r="BF41" s="29"/>
      <c r="BG41" s="29"/>
      <c r="BH41" s="29"/>
      <c r="BI41" s="30"/>
      <c r="BJ41" s="33"/>
      <c r="BK41" s="29"/>
      <c r="BL41" s="29"/>
      <c r="BM41" s="29"/>
      <c r="BN41" s="29"/>
      <c r="BO41" s="29"/>
      <c r="BP41" s="30"/>
      <c r="BQ41" s="33"/>
      <c r="BR41" s="29"/>
      <c r="BS41" s="29"/>
      <c r="BT41" s="29"/>
      <c r="BU41" s="29"/>
      <c r="BV41" s="29"/>
      <c r="BW41" s="30"/>
      <c r="BX41" s="34"/>
      <c r="BY41" s="29"/>
      <c r="BZ41" s="29"/>
      <c r="CA41" s="29"/>
      <c r="CB41" s="29"/>
      <c r="CC41" s="29"/>
      <c r="CD41" s="30"/>
      <c r="CE41" s="34"/>
      <c r="CF41" s="29"/>
      <c r="CG41" s="29"/>
      <c r="CH41" s="29"/>
      <c r="CI41" s="29"/>
      <c r="CJ41" s="29"/>
      <c r="CK41" s="35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3"/>
      <c r="N42" s="29"/>
      <c r="O42" s="29"/>
      <c r="P42" s="29"/>
      <c r="Q42" s="29"/>
      <c r="R42" s="29"/>
      <c r="S42" s="30"/>
      <c r="T42" s="33"/>
      <c r="U42" s="29"/>
      <c r="V42" s="29"/>
      <c r="W42" s="29"/>
      <c r="X42" s="29"/>
      <c r="Y42" s="29"/>
      <c r="Z42" s="30"/>
      <c r="AA42" s="33"/>
      <c r="AB42" s="29"/>
      <c r="AC42" s="29"/>
      <c r="AD42" s="29"/>
      <c r="AE42" s="29"/>
      <c r="AF42" s="29"/>
      <c r="AG42" s="30"/>
      <c r="AH42" s="33"/>
      <c r="AI42" s="29"/>
      <c r="AJ42" s="29"/>
      <c r="AK42" s="29"/>
      <c r="AL42" s="29"/>
      <c r="AM42" s="29"/>
      <c r="AN42" s="30"/>
      <c r="AO42" s="33"/>
      <c r="AP42" s="29"/>
      <c r="AQ42" s="29"/>
      <c r="AR42" s="29"/>
      <c r="AS42" s="29"/>
      <c r="AT42" s="29"/>
      <c r="AU42" s="30"/>
      <c r="AV42" s="33"/>
      <c r="AW42" s="29"/>
      <c r="AX42" s="29"/>
      <c r="AY42" s="29"/>
      <c r="AZ42" s="29"/>
      <c r="BA42" s="29"/>
      <c r="BB42" s="30"/>
      <c r="BC42" s="33"/>
      <c r="BD42" s="29"/>
      <c r="BE42" s="29"/>
      <c r="BF42" s="29"/>
      <c r="BG42" s="29"/>
      <c r="BH42" s="29"/>
      <c r="BI42" s="30"/>
      <c r="BJ42" s="33"/>
      <c r="BK42" s="29"/>
      <c r="BL42" s="29"/>
      <c r="BM42" s="29"/>
      <c r="BN42" s="29"/>
      <c r="BO42" s="29"/>
      <c r="BP42" s="30"/>
      <c r="BQ42" s="33"/>
      <c r="BR42" s="29"/>
      <c r="BS42" s="29"/>
      <c r="BT42" s="29"/>
      <c r="BU42" s="29"/>
      <c r="BV42" s="29"/>
      <c r="BW42" s="30"/>
      <c r="BX42" s="34"/>
      <c r="BY42" s="29"/>
      <c r="BZ42" s="29"/>
      <c r="CA42" s="29"/>
      <c r="CB42" s="29"/>
      <c r="CC42" s="29"/>
      <c r="CD42" s="30"/>
      <c r="CE42" s="34"/>
      <c r="CF42" s="29"/>
      <c r="CG42" s="29"/>
      <c r="CH42" s="29"/>
      <c r="CI42" s="29"/>
      <c r="CJ42" s="29"/>
      <c r="CK42" s="35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3"/>
      <c r="N43" s="29"/>
      <c r="O43" s="29"/>
      <c r="P43" s="29"/>
      <c r="Q43" s="29"/>
      <c r="R43" s="29"/>
      <c r="S43" s="30"/>
      <c r="T43" s="33"/>
      <c r="U43" s="29"/>
      <c r="V43" s="29"/>
      <c r="W43" s="29"/>
      <c r="X43" s="29"/>
      <c r="Y43" s="29"/>
      <c r="Z43" s="30"/>
      <c r="AA43" s="33"/>
      <c r="AB43" s="29"/>
      <c r="AC43" s="29"/>
      <c r="AD43" s="29"/>
      <c r="AE43" s="29"/>
      <c r="AF43" s="29"/>
      <c r="AG43" s="30"/>
      <c r="AH43" s="33"/>
      <c r="AI43" s="29"/>
      <c r="AJ43" s="29"/>
      <c r="AK43" s="29"/>
      <c r="AL43" s="29"/>
      <c r="AM43" s="29"/>
      <c r="AN43" s="30"/>
      <c r="AO43" s="33"/>
      <c r="AP43" s="29"/>
      <c r="AQ43" s="29"/>
      <c r="AR43" s="29"/>
      <c r="AS43" s="29"/>
      <c r="AT43" s="29"/>
      <c r="AU43" s="30"/>
      <c r="AV43" s="33"/>
      <c r="AW43" s="29"/>
      <c r="AX43" s="29"/>
      <c r="AY43" s="29"/>
      <c r="AZ43" s="29"/>
      <c r="BA43" s="29"/>
      <c r="BB43" s="30"/>
      <c r="BC43" s="33"/>
      <c r="BD43" s="29"/>
      <c r="BE43" s="29"/>
      <c r="BF43" s="29"/>
      <c r="BG43" s="29"/>
      <c r="BH43" s="29"/>
      <c r="BI43" s="30"/>
      <c r="BJ43" s="33"/>
      <c r="BK43" s="29"/>
      <c r="BL43" s="29"/>
      <c r="BM43" s="29"/>
      <c r="BN43" s="29"/>
      <c r="BO43" s="29"/>
      <c r="BP43" s="30"/>
      <c r="BQ43" s="33"/>
      <c r="BR43" s="29"/>
      <c r="BS43" s="29"/>
      <c r="BT43" s="29"/>
      <c r="BU43" s="29"/>
      <c r="BV43" s="29"/>
      <c r="BW43" s="30"/>
      <c r="BX43" s="34"/>
      <c r="BY43" s="29"/>
      <c r="BZ43" s="29"/>
      <c r="CA43" s="29"/>
      <c r="CB43" s="29"/>
      <c r="CC43" s="29"/>
      <c r="CD43" s="30"/>
      <c r="CE43" s="34"/>
      <c r="CF43" s="29"/>
      <c r="CG43" s="29"/>
      <c r="CH43" s="29"/>
      <c r="CI43" s="29"/>
      <c r="CJ43" s="29"/>
      <c r="CK43" s="35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3"/>
      <c r="N44" s="29"/>
      <c r="O44" s="29"/>
      <c r="P44" s="29"/>
      <c r="Q44" s="29"/>
      <c r="R44" s="29"/>
      <c r="S44" s="30"/>
      <c r="T44" s="33"/>
      <c r="U44" s="29"/>
      <c r="V44" s="29"/>
      <c r="W44" s="29"/>
      <c r="X44" s="29"/>
      <c r="Y44" s="29"/>
      <c r="Z44" s="30"/>
      <c r="AA44" s="33"/>
      <c r="AB44" s="29"/>
      <c r="AC44" s="29"/>
      <c r="AD44" s="29"/>
      <c r="AE44" s="29"/>
      <c r="AF44" s="29"/>
      <c r="AG44" s="30"/>
      <c r="AH44" s="33"/>
      <c r="AI44" s="29"/>
      <c r="AJ44" s="29"/>
      <c r="AK44" s="29"/>
      <c r="AL44" s="29"/>
      <c r="AM44" s="29"/>
      <c r="AN44" s="30"/>
      <c r="AO44" s="33"/>
      <c r="AP44" s="29"/>
      <c r="AQ44" s="29"/>
      <c r="AR44" s="29"/>
      <c r="AS44" s="29"/>
      <c r="AT44" s="29"/>
      <c r="AU44" s="30"/>
      <c r="AV44" s="33"/>
      <c r="AW44" s="29"/>
      <c r="AX44" s="29"/>
      <c r="AY44" s="29"/>
      <c r="AZ44" s="29"/>
      <c r="BA44" s="29"/>
      <c r="BB44" s="30"/>
      <c r="BC44" s="33"/>
      <c r="BD44" s="29"/>
      <c r="BE44" s="29"/>
      <c r="BF44" s="29"/>
      <c r="BG44" s="29"/>
      <c r="BH44" s="29"/>
      <c r="BI44" s="30"/>
      <c r="BJ44" s="33"/>
      <c r="BK44" s="29"/>
      <c r="BL44" s="29"/>
      <c r="BM44" s="29"/>
      <c r="BN44" s="29"/>
      <c r="BO44" s="29"/>
      <c r="BP44" s="30"/>
      <c r="BQ44" s="33"/>
      <c r="BR44" s="29"/>
      <c r="BS44" s="29"/>
      <c r="BT44" s="29"/>
      <c r="BU44" s="29"/>
      <c r="BV44" s="29"/>
      <c r="BW44" s="30"/>
      <c r="BX44" s="34"/>
      <c r="BY44" s="29"/>
      <c r="BZ44" s="29"/>
      <c r="CA44" s="29"/>
      <c r="CB44" s="29"/>
      <c r="CC44" s="29"/>
      <c r="CD44" s="30"/>
      <c r="CE44" s="34"/>
      <c r="CF44" s="29"/>
      <c r="CG44" s="29"/>
      <c r="CH44" s="29"/>
      <c r="CI44" s="29"/>
      <c r="CJ44" s="29"/>
      <c r="CK44" s="35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3"/>
      <c r="N45" s="29"/>
      <c r="O45" s="29"/>
      <c r="P45" s="29"/>
      <c r="Q45" s="29"/>
      <c r="R45" s="29"/>
      <c r="S45" s="30"/>
      <c r="T45" s="33"/>
      <c r="U45" s="29"/>
      <c r="V45" s="29"/>
      <c r="W45" s="29"/>
      <c r="X45" s="29"/>
      <c r="Y45" s="29"/>
      <c r="Z45" s="30"/>
      <c r="AA45" s="33"/>
      <c r="AB45" s="29"/>
      <c r="AC45" s="29"/>
      <c r="AD45" s="29"/>
      <c r="AE45" s="29"/>
      <c r="AF45" s="29"/>
      <c r="AG45" s="30"/>
      <c r="AH45" s="33"/>
      <c r="AI45" s="29"/>
      <c r="AJ45" s="29"/>
      <c r="AK45" s="29"/>
      <c r="AL45" s="29"/>
      <c r="AM45" s="29"/>
      <c r="AN45" s="30"/>
      <c r="AO45" s="33"/>
      <c r="AP45" s="29"/>
      <c r="AQ45" s="29"/>
      <c r="AR45" s="29"/>
      <c r="AS45" s="29"/>
      <c r="AT45" s="29"/>
      <c r="AU45" s="30"/>
      <c r="AV45" s="33"/>
      <c r="AW45" s="29"/>
      <c r="AX45" s="29"/>
      <c r="AY45" s="29"/>
      <c r="AZ45" s="29"/>
      <c r="BA45" s="29"/>
      <c r="BB45" s="30"/>
      <c r="BC45" s="33"/>
      <c r="BD45" s="29"/>
      <c r="BE45" s="29"/>
      <c r="BF45" s="29"/>
      <c r="BG45" s="29"/>
      <c r="BH45" s="29"/>
      <c r="BI45" s="30"/>
      <c r="BJ45" s="33"/>
      <c r="BK45" s="29"/>
      <c r="BL45" s="29"/>
      <c r="BM45" s="29"/>
      <c r="BN45" s="29"/>
      <c r="BO45" s="29"/>
      <c r="BP45" s="30"/>
      <c r="BQ45" s="33"/>
      <c r="BR45" s="29"/>
      <c r="BS45" s="29"/>
      <c r="BT45" s="29"/>
      <c r="BU45" s="29"/>
      <c r="BV45" s="29"/>
      <c r="BW45" s="30"/>
      <c r="BX45" s="34"/>
      <c r="BY45" s="29"/>
      <c r="BZ45" s="29"/>
      <c r="CA45" s="29"/>
      <c r="CB45" s="29"/>
      <c r="CC45" s="29"/>
      <c r="CD45" s="30"/>
      <c r="CE45" s="34"/>
      <c r="CF45" s="29"/>
      <c r="CG45" s="29"/>
      <c r="CH45" s="29"/>
      <c r="CI45" s="29"/>
      <c r="CJ45" s="29"/>
      <c r="CK45" s="35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3"/>
      <c r="N46" s="29"/>
      <c r="O46" s="29"/>
      <c r="P46" s="29"/>
      <c r="Q46" s="29"/>
      <c r="R46" s="29"/>
      <c r="S46" s="30"/>
      <c r="T46" s="33"/>
      <c r="U46" s="29"/>
      <c r="V46" s="29"/>
      <c r="W46" s="29"/>
      <c r="X46" s="29"/>
      <c r="Y46" s="29"/>
      <c r="Z46" s="30"/>
      <c r="AA46" s="33"/>
      <c r="AB46" s="29"/>
      <c r="AC46" s="29"/>
      <c r="AD46" s="29"/>
      <c r="AE46" s="29"/>
      <c r="AF46" s="29"/>
      <c r="AG46" s="30"/>
      <c r="AH46" s="33"/>
      <c r="AI46" s="29"/>
      <c r="AJ46" s="29"/>
      <c r="AK46" s="29"/>
      <c r="AL46" s="29"/>
      <c r="AM46" s="29"/>
      <c r="AN46" s="30"/>
      <c r="AO46" s="33"/>
      <c r="AP46" s="29"/>
      <c r="AQ46" s="29"/>
      <c r="AR46" s="29"/>
      <c r="AS46" s="29"/>
      <c r="AT46" s="29"/>
      <c r="AU46" s="30"/>
      <c r="AV46" s="33"/>
      <c r="AW46" s="29"/>
      <c r="AX46" s="29"/>
      <c r="AY46" s="29"/>
      <c r="AZ46" s="29"/>
      <c r="BA46" s="29"/>
      <c r="BB46" s="30"/>
      <c r="BC46" s="33"/>
      <c r="BD46" s="29"/>
      <c r="BE46" s="29"/>
      <c r="BF46" s="29"/>
      <c r="BG46" s="29"/>
      <c r="BH46" s="29"/>
      <c r="BI46" s="30"/>
      <c r="BJ46" s="33"/>
      <c r="BK46" s="29"/>
      <c r="BL46" s="29"/>
      <c r="BM46" s="29"/>
      <c r="BN46" s="29"/>
      <c r="BO46" s="29"/>
      <c r="BP46" s="30"/>
      <c r="BQ46" s="33"/>
      <c r="BR46" s="29"/>
      <c r="BS46" s="29"/>
      <c r="BT46" s="29"/>
      <c r="BU46" s="29"/>
      <c r="BV46" s="29"/>
      <c r="BW46" s="30"/>
      <c r="BX46" s="34"/>
      <c r="BY46" s="29"/>
      <c r="BZ46" s="29"/>
      <c r="CA46" s="29"/>
      <c r="CB46" s="29"/>
      <c r="CC46" s="29"/>
      <c r="CD46" s="30"/>
      <c r="CE46" s="34"/>
      <c r="CF46" s="29"/>
      <c r="CG46" s="29"/>
      <c r="CH46" s="29"/>
      <c r="CI46" s="29"/>
      <c r="CJ46" s="29"/>
      <c r="CK46" s="35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3"/>
      <c r="N47" s="29"/>
      <c r="O47" s="29"/>
      <c r="P47" s="29"/>
      <c r="Q47" s="29"/>
      <c r="R47" s="29"/>
      <c r="S47" s="30"/>
      <c r="T47" s="33"/>
      <c r="U47" s="29"/>
      <c r="V47" s="29"/>
      <c r="W47" s="29"/>
      <c r="X47" s="29"/>
      <c r="Y47" s="29"/>
      <c r="Z47" s="30"/>
      <c r="AA47" s="33"/>
      <c r="AB47" s="29"/>
      <c r="AC47" s="29"/>
      <c r="AD47" s="29"/>
      <c r="AE47" s="29"/>
      <c r="AF47" s="29"/>
      <c r="AG47" s="30"/>
      <c r="AH47" s="33"/>
      <c r="AI47" s="29"/>
      <c r="AJ47" s="29"/>
      <c r="AK47" s="29"/>
      <c r="AL47" s="29"/>
      <c r="AM47" s="29"/>
      <c r="AN47" s="30"/>
      <c r="AO47" s="33"/>
      <c r="AP47" s="29"/>
      <c r="AQ47" s="29"/>
      <c r="AR47" s="29"/>
      <c r="AS47" s="29"/>
      <c r="AT47" s="29"/>
      <c r="AU47" s="30"/>
      <c r="AV47" s="33"/>
      <c r="AW47" s="29"/>
      <c r="AX47" s="29"/>
      <c r="AY47" s="29"/>
      <c r="AZ47" s="29"/>
      <c r="BA47" s="29"/>
      <c r="BB47" s="30"/>
      <c r="BC47" s="33"/>
      <c r="BD47" s="29"/>
      <c r="BE47" s="29"/>
      <c r="BF47" s="29"/>
      <c r="BG47" s="29"/>
      <c r="BH47" s="29"/>
      <c r="BI47" s="30"/>
      <c r="BJ47" s="33"/>
      <c r="BK47" s="29"/>
      <c r="BL47" s="29"/>
      <c r="BM47" s="29"/>
      <c r="BN47" s="29"/>
      <c r="BO47" s="29"/>
      <c r="BP47" s="30"/>
      <c r="BQ47" s="33"/>
      <c r="BR47" s="29"/>
      <c r="BS47" s="29"/>
      <c r="BT47" s="29"/>
      <c r="BU47" s="29"/>
      <c r="BV47" s="29"/>
      <c r="BW47" s="30"/>
      <c r="BX47" s="34"/>
      <c r="BY47" s="29"/>
      <c r="BZ47" s="29"/>
      <c r="CA47" s="29"/>
      <c r="CB47" s="29"/>
      <c r="CC47" s="29"/>
      <c r="CD47" s="30"/>
      <c r="CE47" s="34"/>
      <c r="CF47" s="29"/>
      <c r="CG47" s="29"/>
      <c r="CH47" s="29"/>
      <c r="CI47" s="29"/>
      <c r="CJ47" s="29"/>
      <c r="CK47" s="35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3"/>
      <c r="N48" s="29"/>
      <c r="O48" s="29"/>
      <c r="P48" s="29"/>
      <c r="Q48" s="29"/>
      <c r="R48" s="29"/>
      <c r="S48" s="30"/>
      <c r="T48" s="33"/>
      <c r="U48" s="29"/>
      <c r="V48" s="29"/>
      <c r="W48" s="29"/>
      <c r="X48" s="29"/>
      <c r="Y48" s="29"/>
      <c r="Z48" s="30"/>
      <c r="AA48" s="33"/>
      <c r="AB48" s="29"/>
      <c r="AC48" s="29"/>
      <c r="AD48" s="29"/>
      <c r="AE48" s="29"/>
      <c r="AF48" s="29"/>
      <c r="AG48" s="30"/>
      <c r="AH48" s="33"/>
      <c r="AI48" s="29"/>
      <c r="AJ48" s="29"/>
      <c r="AK48" s="29"/>
      <c r="AL48" s="29"/>
      <c r="AM48" s="29"/>
      <c r="AN48" s="30"/>
      <c r="AO48" s="36"/>
      <c r="AP48" s="37"/>
      <c r="AQ48" s="37"/>
      <c r="AR48" s="37"/>
      <c r="AS48" s="37"/>
      <c r="AT48" s="37"/>
      <c r="AU48" s="38"/>
      <c r="AV48" s="33"/>
      <c r="AW48" s="29"/>
      <c r="AX48" s="29"/>
      <c r="AY48" s="29"/>
      <c r="AZ48" s="29"/>
      <c r="BA48" s="29"/>
      <c r="BB48" s="30"/>
      <c r="BC48" s="33"/>
      <c r="BD48" s="29"/>
      <c r="BE48" s="29"/>
      <c r="BF48" s="29"/>
      <c r="BG48" s="29"/>
      <c r="BH48" s="29"/>
      <c r="BI48" s="30"/>
      <c r="BJ48" s="33"/>
      <c r="BK48" s="29"/>
      <c r="BL48" s="29"/>
      <c r="BM48" s="29"/>
      <c r="BN48" s="29"/>
      <c r="BO48" s="29"/>
      <c r="BP48" s="30"/>
      <c r="BQ48" s="36"/>
      <c r="BR48" s="37"/>
      <c r="BS48" s="37"/>
      <c r="BT48" s="37"/>
      <c r="BU48" s="37"/>
      <c r="BV48" s="37"/>
      <c r="BW48" s="38"/>
      <c r="BX48" s="34"/>
      <c r="BY48" s="29"/>
      <c r="BZ48" s="29"/>
      <c r="CA48" s="29"/>
      <c r="CB48" s="29"/>
      <c r="CC48" s="29"/>
      <c r="CD48" s="30"/>
      <c r="CE48" s="34"/>
      <c r="CF48" s="29"/>
      <c r="CG48" s="29"/>
      <c r="CH48" s="29"/>
      <c r="CI48" s="29"/>
      <c r="CJ48" s="29"/>
      <c r="CK48" s="35"/>
    </row>
    <row r="49" spans="3:89" ht="15" customHeight="1">
      <c r="C49" s="5"/>
      <c r="D49" s="39" t="s">
        <v>36</v>
      </c>
      <c r="E49" s="18">
        <v>600</v>
      </c>
      <c r="F49" s="40">
        <f>SUM(F17:F23)+SUM(F25:F31)+SUM(F33:F39)+SUM(F41:F47)</f>
        <v>8559.99</v>
      </c>
      <c r="G49" s="40">
        <f aca="true" t="shared" si="0" ref="G49:BR49">SUM(G17:G23)+SUM(G25:G31)+SUM(G33:G39)+SUM(G41:G47)</f>
        <v>0</v>
      </c>
      <c r="H49" s="40">
        <f t="shared" si="0"/>
        <v>0</v>
      </c>
      <c r="I49" s="40">
        <f t="shared" si="0"/>
        <v>988.916</v>
      </c>
      <c r="J49" s="40">
        <f t="shared" si="0"/>
        <v>7571.074</v>
      </c>
      <c r="K49" s="40">
        <f t="shared" si="0"/>
        <v>0</v>
      </c>
      <c r="L49" s="41">
        <f t="shared" si="0"/>
        <v>0</v>
      </c>
      <c r="M49" s="42">
        <f t="shared" si="0"/>
        <v>40102.554350000006</v>
      </c>
      <c r="N49" s="40">
        <f t="shared" si="0"/>
        <v>0</v>
      </c>
      <c r="O49" s="40">
        <f t="shared" si="0"/>
        <v>0</v>
      </c>
      <c r="P49" s="40">
        <f>SUM(P17:P23)+SUM(P25:P31)+SUM(P33:P39)+SUM(P41:P47)</f>
        <v>4632.082560000001</v>
      </c>
      <c r="Q49" s="40">
        <f t="shared" si="0"/>
        <v>35470.47179</v>
      </c>
      <c r="R49" s="40">
        <f t="shared" si="0"/>
        <v>0</v>
      </c>
      <c r="S49" s="41">
        <f t="shared" si="0"/>
        <v>0</v>
      </c>
      <c r="T49" s="42">
        <f t="shared" si="0"/>
        <v>0</v>
      </c>
      <c r="U49" s="40">
        <f t="shared" si="0"/>
        <v>0</v>
      </c>
      <c r="V49" s="40">
        <f t="shared" si="0"/>
        <v>0</v>
      </c>
      <c r="W49" s="40">
        <f t="shared" si="0"/>
        <v>0</v>
      </c>
      <c r="X49" s="40">
        <f t="shared" si="0"/>
        <v>0</v>
      </c>
      <c r="Y49" s="40">
        <f t="shared" si="0"/>
        <v>0</v>
      </c>
      <c r="Z49" s="41">
        <f t="shared" si="0"/>
        <v>0</v>
      </c>
      <c r="AA49" s="42">
        <f t="shared" si="0"/>
        <v>0</v>
      </c>
      <c r="AB49" s="40">
        <f t="shared" si="0"/>
        <v>0</v>
      </c>
      <c r="AC49" s="40">
        <f t="shared" si="0"/>
        <v>0</v>
      </c>
      <c r="AD49" s="40">
        <f t="shared" si="0"/>
        <v>0</v>
      </c>
      <c r="AE49" s="40">
        <f t="shared" si="0"/>
        <v>0</v>
      </c>
      <c r="AF49" s="40">
        <f t="shared" si="0"/>
        <v>0</v>
      </c>
      <c r="AG49" s="41">
        <f t="shared" si="0"/>
        <v>0</v>
      </c>
      <c r="AH49" s="42">
        <f t="shared" si="0"/>
        <v>0</v>
      </c>
      <c r="AI49" s="40">
        <f t="shared" si="0"/>
        <v>0</v>
      </c>
      <c r="AJ49" s="40">
        <f t="shared" si="0"/>
        <v>0</v>
      </c>
      <c r="AK49" s="40">
        <f t="shared" si="0"/>
        <v>0</v>
      </c>
      <c r="AL49" s="40">
        <f t="shared" si="0"/>
        <v>0</v>
      </c>
      <c r="AM49" s="40">
        <f t="shared" si="0"/>
        <v>0</v>
      </c>
      <c r="AN49" s="41">
        <f t="shared" si="0"/>
        <v>0</v>
      </c>
      <c r="AO49" s="42">
        <f t="shared" si="0"/>
        <v>0</v>
      </c>
      <c r="AP49" s="40">
        <f t="shared" si="0"/>
        <v>0</v>
      </c>
      <c r="AQ49" s="40">
        <f t="shared" si="0"/>
        <v>0</v>
      </c>
      <c r="AR49" s="40">
        <f t="shared" si="0"/>
        <v>0</v>
      </c>
      <c r="AS49" s="40">
        <f t="shared" si="0"/>
        <v>0</v>
      </c>
      <c r="AT49" s="40">
        <f t="shared" si="0"/>
        <v>0</v>
      </c>
      <c r="AU49" s="41">
        <f t="shared" si="0"/>
        <v>0</v>
      </c>
      <c r="AV49" s="42">
        <f t="shared" si="0"/>
        <v>0</v>
      </c>
      <c r="AW49" s="40">
        <f t="shared" si="0"/>
        <v>0</v>
      </c>
      <c r="AX49" s="40">
        <f t="shared" si="0"/>
        <v>0</v>
      </c>
      <c r="AY49" s="40">
        <f t="shared" si="0"/>
        <v>0</v>
      </c>
      <c r="AZ49" s="40">
        <f t="shared" si="0"/>
        <v>0</v>
      </c>
      <c r="BA49" s="40">
        <f t="shared" si="0"/>
        <v>0</v>
      </c>
      <c r="BB49" s="41">
        <f t="shared" si="0"/>
        <v>0</v>
      </c>
      <c r="BC49" s="42">
        <f t="shared" si="0"/>
        <v>0</v>
      </c>
      <c r="BD49" s="40">
        <f t="shared" si="0"/>
        <v>0</v>
      </c>
      <c r="BE49" s="40">
        <f t="shared" si="0"/>
        <v>0</v>
      </c>
      <c r="BF49" s="40">
        <f t="shared" si="0"/>
        <v>0</v>
      </c>
      <c r="BG49" s="40">
        <f t="shared" si="0"/>
        <v>0</v>
      </c>
      <c r="BH49" s="40">
        <f t="shared" si="0"/>
        <v>0</v>
      </c>
      <c r="BI49" s="41">
        <f t="shared" si="0"/>
        <v>0</v>
      </c>
      <c r="BJ49" s="42">
        <f t="shared" si="0"/>
        <v>0</v>
      </c>
      <c r="BK49" s="40">
        <f t="shared" si="0"/>
        <v>0</v>
      </c>
      <c r="BL49" s="40">
        <f t="shared" si="0"/>
        <v>0</v>
      </c>
      <c r="BM49" s="40">
        <f t="shared" si="0"/>
        <v>0</v>
      </c>
      <c r="BN49" s="40">
        <f t="shared" si="0"/>
        <v>0</v>
      </c>
      <c r="BO49" s="40">
        <f t="shared" si="0"/>
        <v>0</v>
      </c>
      <c r="BP49" s="41">
        <f t="shared" si="0"/>
        <v>0</v>
      </c>
      <c r="BQ49" s="43">
        <f t="shared" si="0"/>
        <v>0</v>
      </c>
      <c r="BR49" s="40">
        <f t="shared" si="0"/>
        <v>0</v>
      </c>
      <c r="BS49" s="40">
        <f aca="true" t="shared" si="1" ref="BS49:CK49">SUM(BS17:BS23)+SUM(BS25:BS31)+SUM(BS33:BS39)+SUM(BS41:BS47)</f>
        <v>0</v>
      </c>
      <c r="BT49" s="40">
        <f t="shared" si="1"/>
        <v>0</v>
      </c>
      <c r="BU49" s="40">
        <f t="shared" si="1"/>
        <v>0</v>
      </c>
      <c r="BV49" s="40">
        <f t="shared" si="1"/>
        <v>0</v>
      </c>
      <c r="BW49" s="41">
        <f t="shared" si="1"/>
        <v>0</v>
      </c>
      <c r="BX49" s="42">
        <f t="shared" si="1"/>
        <v>0</v>
      </c>
      <c r="BY49" s="40">
        <f t="shared" si="1"/>
        <v>0</v>
      </c>
      <c r="BZ49" s="40">
        <f t="shared" si="1"/>
        <v>0</v>
      </c>
      <c r="CA49" s="40">
        <f t="shared" si="1"/>
        <v>0</v>
      </c>
      <c r="CB49" s="40">
        <f t="shared" si="1"/>
        <v>0</v>
      </c>
      <c r="CC49" s="40">
        <f t="shared" si="1"/>
        <v>0</v>
      </c>
      <c r="CD49" s="41">
        <f t="shared" si="1"/>
        <v>0</v>
      </c>
      <c r="CE49" s="43">
        <f t="shared" si="1"/>
        <v>0</v>
      </c>
      <c r="CF49" s="40">
        <f t="shared" si="1"/>
        <v>0</v>
      </c>
      <c r="CG49" s="40">
        <f t="shared" si="1"/>
        <v>0</v>
      </c>
      <c r="CH49" s="40">
        <f t="shared" si="1"/>
        <v>0</v>
      </c>
      <c r="CI49" s="40">
        <f t="shared" si="1"/>
        <v>0</v>
      </c>
      <c r="CJ49" s="40">
        <f t="shared" si="1"/>
        <v>0</v>
      </c>
      <c r="CK49" s="44">
        <f t="shared" si="1"/>
        <v>0</v>
      </c>
    </row>
  </sheetData>
  <mergeCells count="39">
    <mergeCell ref="D11:K11"/>
    <mergeCell ref="D12:D14"/>
    <mergeCell ref="E12:E14"/>
    <mergeCell ref="F12:L12"/>
    <mergeCell ref="M12:S12"/>
    <mergeCell ref="T12:Z12"/>
    <mergeCell ref="AA12:AG12"/>
    <mergeCell ref="AH12:AN12"/>
    <mergeCell ref="AO12:AU12"/>
    <mergeCell ref="AV12:BB12"/>
    <mergeCell ref="BC12:BI12"/>
    <mergeCell ref="BJ12:BP12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B13:AG13"/>
    <mergeCell ref="AH13:AH14"/>
    <mergeCell ref="AI13:AN13"/>
    <mergeCell ref="AO13:AO14"/>
    <mergeCell ref="AP13:AU13"/>
    <mergeCell ref="AV13:AV14"/>
    <mergeCell ref="AW13:BB13"/>
    <mergeCell ref="BC13:BC14"/>
    <mergeCell ref="BD13:BI13"/>
    <mergeCell ref="BJ13:BJ14"/>
    <mergeCell ref="BK13:BP13"/>
    <mergeCell ref="BQ13:BQ14"/>
    <mergeCell ref="CF13:CK13"/>
    <mergeCell ref="BR13:BW13"/>
    <mergeCell ref="BX13:BX14"/>
    <mergeCell ref="BY13:CD13"/>
    <mergeCell ref="CE13:CE14"/>
  </mergeCells>
  <dataValidations count="1">
    <dataValidation type="decimal" allowBlank="1" showErrorMessage="1" errorTitle="Ошибка" error="Допускается ввод только действительных чисел!" sqref="F16:U49 W16:CK49 V16:V24 V26:V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workbookViewId="0" topLeftCell="C7">
      <selection activeCell="D8" sqref="D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20" width="10.710937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126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5" t="s">
        <v>37</v>
      </c>
      <c r="E9" s="5"/>
      <c r="F9" s="5"/>
      <c r="G9" s="5"/>
      <c r="H9" s="5"/>
    </row>
    <row r="10" spans="4:8" ht="12" customHeight="1">
      <c r="D10" s="13" t="str">
        <f>IF(org="","Не определено",org)</f>
        <v>МП "Салехардэнерго"</v>
      </c>
      <c r="E10" s="5"/>
      <c r="F10" s="5"/>
      <c r="G10" s="5"/>
      <c r="H10" s="5"/>
    </row>
    <row r="11" spans="4:20" ht="12" customHeight="1">
      <c r="D11" s="32"/>
      <c r="E11" s="32"/>
      <c r="F11" s="32"/>
      <c r="G11" s="32"/>
      <c r="H11" s="32"/>
      <c r="I11" s="99"/>
      <c r="J11" s="99"/>
      <c r="K11" s="99"/>
      <c r="L11" s="5"/>
      <c r="M11" s="5"/>
      <c r="N11" s="5"/>
      <c r="O11" s="5"/>
      <c r="P11" s="5"/>
      <c r="Q11" s="5"/>
      <c r="R11" s="5"/>
      <c r="S11" s="5"/>
      <c r="T11" s="46" t="s">
        <v>1</v>
      </c>
    </row>
    <row r="12" spans="3:20" ht="72" customHeight="1">
      <c r="C12" s="5"/>
      <c r="D12" s="92" t="s">
        <v>2</v>
      </c>
      <c r="E12" s="92" t="s">
        <v>3</v>
      </c>
      <c r="F12" s="95" t="s">
        <v>38</v>
      </c>
      <c r="G12" s="95" t="s">
        <v>39</v>
      </c>
      <c r="H12" s="95" t="s">
        <v>40</v>
      </c>
      <c r="I12" s="95" t="s">
        <v>41</v>
      </c>
      <c r="J12" s="95" t="s">
        <v>42</v>
      </c>
      <c r="K12" s="96" t="s">
        <v>43</v>
      </c>
      <c r="L12" s="94" t="s">
        <v>44</v>
      </c>
      <c r="M12" s="95"/>
      <c r="N12" s="96"/>
      <c r="O12" s="94" t="s">
        <v>45</v>
      </c>
      <c r="P12" s="95"/>
      <c r="Q12" s="96"/>
      <c r="R12" s="97" t="s">
        <v>46</v>
      </c>
      <c r="S12" s="95"/>
      <c r="T12" s="98"/>
    </row>
    <row r="13" spans="3:20" ht="22.5">
      <c r="C13" s="5"/>
      <c r="D13" s="92"/>
      <c r="E13" s="92"/>
      <c r="F13" s="95"/>
      <c r="G13" s="100"/>
      <c r="H13" s="100"/>
      <c r="I13" s="100"/>
      <c r="J13" s="100"/>
      <c r="K13" s="101"/>
      <c r="L13" s="52" t="s">
        <v>47</v>
      </c>
      <c r="M13" s="50" t="s">
        <v>48</v>
      </c>
      <c r="N13" s="51" t="s">
        <v>49</v>
      </c>
      <c r="O13" s="52" t="s">
        <v>47</v>
      </c>
      <c r="P13" s="50" t="s">
        <v>48</v>
      </c>
      <c r="Q13" s="51" t="s">
        <v>49</v>
      </c>
      <c r="R13" s="48" t="s">
        <v>47</v>
      </c>
      <c r="S13" s="47" t="s">
        <v>48</v>
      </c>
      <c r="T13" s="49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3" t="s">
        <v>50</v>
      </c>
      <c r="E15" s="47">
        <v>100</v>
      </c>
      <c r="F15" s="54">
        <f>F18+F21+F30+F35</f>
        <v>9239.604</v>
      </c>
      <c r="G15" s="54">
        <f>G18+G21+G30+G35</f>
        <v>16651.50071</v>
      </c>
      <c r="H15" s="54">
        <f aca="true" t="shared" si="0" ref="H15:P15">H18+H21+H30+H35</f>
        <v>14111.441279661016</v>
      </c>
      <c r="I15" s="54">
        <f t="shared" si="0"/>
        <v>4731.613</v>
      </c>
      <c r="J15" s="54">
        <f t="shared" si="0"/>
        <v>9585.54175</v>
      </c>
      <c r="K15" s="54">
        <f t="shared" si="0"/>
        <v>8123.340466101696</v>
      </c>
      <c r="L15" s="54">
        <f t="shared" si="0"/>
        <v>1444.959</v>
      </c>
      <c r="M15" s="54">
        <f t="shared" si="0"/>
        <v>3063.0319999999997</v>
      </c>
      <c r="N15" s="54">
        <f t="shared" si="0"/>
        <v>0</v>
      </c>
      <c r="O15" s="54">
        <f t="shared" si="0"/>
        <v>1360.24361</v>
      </c>
      <c r="P15" s="54">
        <f t="shared" si="0"/>
        <v>5705.71535</v>
      </c>
      <c r="Q15" s="54"/>
      <c r="R15" s="54">
        <f>R18+R21+R30+R35</f>
        <v>1152.7488220338983</v>
      </c>
      <c r="S15" s="54">
        <f>S18+S21+S30+S35</f>
        <v>4835.351991525424</v>
      </c>
      <c r="T15" s="54"/>
    </row>
    <row r="16" spans="3:20" ht="15" customHeight="1">
      <c r="C16" s="5"/>
      <c r="D16" s="53" t="s">
        <v>51</v>
      </c>
      <c r="E16" s="47">
        <v>110</v>
      </c>
      <c r="F16" s="54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3" t="s">
        <v>52</v>
      </c>
      <c r="E17" s="47">
        <v>120</v>
      </c>
      <c r="F17" s="54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3" t="s">
        <v>53</v>
      </c>
      <c r="E18" s="47">
        <v>200</v>
      </c>
      <c r="F18" s="54">
        <f>(3554810+1556268+791761-16843)/1000</f>
        <v>5885.996</v>
      </c>
      <c r="G18" s="23">
        <f>H18*1.18</f>
        <v>11934.32489</v>
      </c>
      <c r="H18" s="23">
        <f>(7713933.78+3392667.52+863019.57-35295.98)/1.18/1000</f>
        <v>10113.834652542373</v>
      </c>
      <c r="I18" s="23">
        <f>(3554810-7372)/1000</f>
        <v>3547.438</v>
      </c>
      <c r="J18" s="23">
        <f>K18*1.18</f>
        <v>7697.937010000001</v>
      </c>
      <c r="K18" s="24">
        <f>(7713933.78-15996.77)/1.18/1000</f>
        <v>6523.67543220339</v>
      </c>
      <c r="L18" s="25">
        <f>(791761-1236)/1000</f>
        <v>790.525</v>
      </c>
      <c r="M18" s="23">
        <f>(1556268-8235)/1000</f>
        <v>1548.033</v>
      </c>
      <c r="N18" s="24"/>
      <c r="O18" s="25">
        <f>R18*1.18</f>
        <v>861.67287</v>
      </c>
      <c r="P18" s="23">
        <f>S18*1.18</f>
        <v>3374.7150100000003</v>
      </c>
      <c r="Q18" s="24"/>
      <c r="R18" s="26">
        <f>(863019.57-1346.7)/1.18/1000</f>
        <v>730.2312457627119</v>
      </c>
      <c r="S18" s="23">
        <f>(3392667.52-17952.51)/1.18/1000</f>
        <v>2859.9279745762715</v>
      </c>
      <c r="T18" s="27"/>
    </row>
    <row r="19" spans="3:20" ht="15" customHeight="1">
      <c r="C19" s="5"/>
      <c r="D19" s="53" t="s">
        <v>51</v>
      </c>
      <c r="E19" s="47">
        <v>210</v>
      </c>
      <c r="F19" s="54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3" t="s">
        <v>52</v>
      </c>
      <c r="E20" s="47">
        <v>220</v>
      </c>
      <c r="F20" s="54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3" t="s">
        <v>54</v>
      </c>
      <c r="E21" s="47">
        <v>230</v>
      </c>
      <c r="F21" s="54">
        <f>(978136+1465282+637053)/1000</f>
        <v>3080.471</v>
      </c>
      <c r="G21" s="23">
        <f>H21*1.18</f>
        <v>4212.14591</v>
      </c>
      <c r="H21" s="23">
        <f>(1486767.45+2241882.18+483496.28)/1.18/1000</f>
        <v>3569.6151779661022</v>
      </c>
      <c r="I21" s="23">
        <f>978136/1000</f>
        <v>978.136</v>
      </c>
      <c r="J21" s="23">
        <f>K21*1.18</f>
        <v>1486.76745</v>
      </c>
      <c r="K21" s="24">
        <f>1486767.45/1.18/1000</f>
        <v>1259.9724152542374</v>
      </c>
      <c r="L21" s="25">
        <f>637053/1000</f>
        <v>637.053</v>
      </c>
      <c r="M21" s="23">
        <f>1465282/1000</f>
        <v>1465.282</v>
      </c>
      <c r="N21" s="24"/>
      <c r="O21" s="25">
        <f>R21*1.18</f>
        <v>483.49628</v>
      </c>
      <c r="P21" s="23">
        <f>S21*1.18</f>
        <v>2241.8821800000005</v>
      </c>
      <c r="Q21" s="24"/>
      <c r="R21" s="26">
        <f>483496.28/1.18/1000</f>
        <v>409.74261016949157</v>
      </c>
      <c r="S21" s="23">
        <f>2241882.18/1.18/1000</f>
        <v>1899.9001525423732</v>
      </c>
      <c r="T21" s="27"/>
    </row>
    <row r="22" spans="3:20" ht="15" customHeight="1">
      <c r="C22" s="5"/>
      <c r="D22" s="53" t="s">
        <v>51</v>
      </c>
      <c r="E22" s="47">
        <v>240</v>
      </c>
      <c r="F22" s="54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3" t="s">
        <v>52</v>
      </c>
      <c r="E23" s="47">
        <v>250</v>
      </c>
      <c r="F23" s="54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3" t="s">
        <v>55</v>
      </c>
      <c r="E24" s="47">
        <v>260</v>
      </c>
      <c r="F24" s="54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3" t="s">
        <v>51</v>
      </c>
      <c r="E25" s="47" t="s">
        <v>56</v>
      </c>
      <c r="F25" s="54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3" t="s">
        <v>52</v>
      </c>
      <c r="E26" s="47" t="s">
        <v>57</v>
      </c>
      <c r="F26" s="54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3" t="s">
        <v>58</v>
      </c>
      <c r="E27" s="47" t="s">
        <v>59</v>
      </c>
      <c r="F27" s="54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3" t="s">
        <v>51</v>
      </c>
      <c r="E28" s="47" t="s">
        <v>60</v>
      </c>
      <c r="F28" s="54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3" t="s">
        <v>52</v>
      </c>
      <c r="E29" s="47" t="s">
        <v>61</v>
      </c>
      <c r="F29" s="54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3" t="s">
        <v>123</v>
      </c>
      <c r="E30" s="47" t="s">
        <v>62</v>
      </c>
      <c r="F30" s="54">
        <f>(16843+42099)/1000</f>
        <v>58.942</v>
      </c>
      <c r="G30" s="23">
        <f>H30*1.18</f>
        <v>96.50835000000001</v>
      </c>
      <c r="H30" s="23">
        <f>(35295.98+61212.37)/1.18/1000</f>
        <v>81.7867372881356</v>
      </c>
      <c r="I30" s="23">
        <f>(7372+32654)/1000</f>
        <v>40.026</v>
      </c>
      <c r="J30" s="23">
        <f>K30*1.18</f>
        <v>65.63068000000001</v>
      </c>
      <c r="K30" s="24">
        <f>(15996.77+49633.91)/1.18/1000</f>
        <v>55.61922033898306</v>
      </c>
      <c r="L30" s="25">
        <f>(1236+3745)/1000</f>
        <v>4.981</v>
      </c>
      <c r="M30" s="23">
        <f>(8235+5700)/1000</f>
        <v>13.935</v>
      </c>
      <c r="N30" s="24"/>
      <c r="O30" s="25">
        <f>R30*1.18</f>
        <v>4.204510000000001</v>
      </c>
      <c r="P30" s="23">
        <f>S30*1.18</f>
        <v>26.67316</v>
      </c>
      <c r="Q30" s="24"/>
      <c r="R30" s="26">
        <f>(1346.7+2857.81)/1.18/1000</f>
        <v>3.563144067796611</v>
      </c>
      <c r="S30" s="23">
        <f>(17952.51+8720.65)/1.18/1000</f>
        <v>22.604372881355932</v>
      </c>
      <c r="T30" s="27"/>
    </row>
    <row r="31" spans="3:20" ht="15.75" customHeight="1">
      <c r="C31" s="5"/>
      <c r="D31" s="53" t="s">
        <v>124</v>
      </c>
      <c r="E31" s="47"/>
      <c r="F31" s="54">
        <f>16843/1000</f>
        <v>16.843</v>
      </c>
      <c r="G31" s="23">
        <f>H31*1.18</f>
        <v>35.29598</v>
      </c>
      <c r="H31" s="23">
        <f>35295.98/1.18/1000</f>
        <v>29.911847457627122</v>
      </c>
      <c r="I31" s="23">
        <f>7372/1000</f>
        <v>7.372</v>
      </c>
      <c r="J31" s="23">
        <f>K31*1.18</f>
        <v>15.99677</v>
      </c>
      <c r="K31" s="24">
        <f>15996.77/1.18/1000</f>
        <v>13.556584745762713</v>
      </c>
      <c r="L31" s="25">
        <f>1236/1000</f>
        <v>1.236</v>
      </c>
      <c r="M31" s="23">
        <f>8235/1000</f>
        <v>8.235</v>
      </c>
      <c r="N31" s="24"/>
      <c r="O31" s="25">
        <f>R31*1.18</f>
        <v>1.3467000000000002</v>
      </c>
      <c r="P31" s="23">
        <f>S31*1.18</f>
        <v>17.952509999999997</v>
      </c>
      <c r="Q31" s="24"/>
      <c r="R31" s="26">
        <f>1346.7/1.18/1000</f>
        <v>1.1412711864406782</v>
      </c>
      <c r="S31" s="23">
        <f>17952.51/1.18/1000</f>
        <v>15.213991525423728</v>
      </c>
      <c r="T31" s="27"/>
    </row>
    <row r="32" spans="3:20" ht="16.5" customHeight="1">
      <c r="C32" s="5"/>
      <c r="D32" s="53" t="s">
        <v>125</v>
      </c>
      <c r="E32" s="47"/>
      <c r="F32" s="54">
        <f>42099/1000</f>
        <v>42.099</v>
      </c>
      <c r="G32" s="23">
        <f>H32*1.18</f>
        <v>61.21237</v>
      </c>
      <c r="H32" s="23">
        <f>61212.37/1.18/1000</f>
        <v>51.87488983050848</v>
      </c>
      <c r="I32" s="23">
        <f>32654/1000</f>
        <v>32.654</v>
      </c>
      <c r="J32" s="23">
        <f>K32*1.18</f>
        <v>49.63391</v>
      </c>
      <c r="K32" s="24">
        <f>49633.91/1.18/1000</f>
        <v>42.06263559322034</v>
      </c>
      <c r="L32" s="25">
        <f>3745/1000</f>
        <v>3.745</v>
      </c>
      <c r="M32" s="23">
        <f>5700/1000</f>
        <v>5.7</v>
      </c>
      <c r="N32" s="24"/>
      <c r="O32" s="25">
        <f>R32*1.18</f>
        <v>2.8578099999999997</v>
      </c>
      <c r="P32" s="23">
        <f>S32*1.18</f>
        <v>8.72065</v>
      </c>
      <c r="Q32" s="24"/>
      <c r="R32" s="26">
        <f>2857.81/1.18/1000</f>
        <v>2.4218728813559323</v>
      </c>
      <c r="S32" s="23">
        <f>8720.65/1.18/1000</f>
        <v>7.390381355932203</v>
      </c>
      <c r="T32" s="27"/>
    </row>
    <row r="33" spans="3:20" ht="15" customHeight="1">
      <c r="C33" s="5"/>
      <c r="D33" s="53" t="s">
        <v>51</v>
      </c>
      <c r="E33" s="47" t="s">
        <v>63</v>
      </c>
      <c r="F33" s="54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3" t="s">
        <v>52</v>
      </c>
      <c r="E34" s="47" t="s">
        <v>64</v>
      </c>
      <c r="F34" s="54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3" t="s">
        <v>65</v>
      </c>
      <c r="E35" s="47" t="s">
        <v>66</v>
      </c>
      <c r="F35" s="55">
        <f>(127490+11845+4383+38523+23937+8017)/1000</f>
        <v>214.195</v>
      </c>
      <c r="G35" s="29">
        <f>H35*1.18</f>
        <v>408.52156</v>
      </c>
      <c r="H35" s="29">
        <f>(276652.46+25821.73+4778.15+58554.15+36623.27+6091.8)/1.18/1000</f>
        <v>346.2047118644068</v>
      </c>
      <c r="I35" s="29">
        <f>(127490+38523)/1000</f>
        <v>166.013</v>
      </c>
      <c r="J35" s="29">
        <f>K35*1.18</f>
        <v>335.20661</v>
      </c>
      <c r="K35" s="30">
        <f>(276652.46+58554.15)/1.18/1000</f>
        <v>284.07339830508477</v>
      </c>
      <c r="L35" s="33">
        <f>(4383+8017)/1000</f>
        <v>12.4</v>
      </c>
      <c r="M35" s="29">
        <f>(11845+23937)/1000</f>
        <v>35.782</v>
      </c>
      <c r="N35" s="30"/>
      <c r="O35" s="33">
        <f>R35*1.18</f>
        <v>10.869950000000001</v>
      </c>
      <c r="P35" s="29">
        <f>S35*1.18</f>
        <v>62.44500000000001</v>
      </c>
      <c r="Q35" s="30"/>
      <c r="R35" s="34">
        <f>(4778.15+6091.8)/1.18/1000</f>
        <v>9.211822033898306</v>
      </c>
      <c r="S35" s="29">
        <f>(25821.73+36623.27)/1.18/1000</f>
        <v>52.91949152542374</v>
      </c>
      <c r="T35" s="35"/>
    </row>
    <row r="36" spans="3:20" ht="15" customHeight="1">
      <c r="C36" s="5"/>
      <c r="D36" s="53" t="s">
        <v>51</v>
      </c>
      <c r="E36" s="47" t="s">
        <v>67</v>
      </c>
      <c r="F36" s="56"/>
      <c r="G36" s="62"/>
      <c r="H36" s="62"/>
      <c r="I36" s="62"/>
      <c r="J36" s="62"/>
      <c r="K36" s="63"/>
      <c r="L36" s="64"/>
      <c r="M36" s="62"/>
      <c r="N36" s="63"/>
      <c r="O36" s="64"/>
      <c r="P36" s="62"/>
      <c r="Q36" s="63"/>
      <c r="R36" s="65"/>
      <c r="S36" s="62"/>
      <c r="T36" s="66"/>
    </row>
    <row r="37" spans="3:20" ht="15" customHeight="1">
      <c r="C37" s="5"/>
      <c r="D37" s="53" t="s">
        <v>52</v>
      </c>
      <c r="E37" s="47" t="s">
        <v>68</v>
      </c>
      <c r="F37" s="56"/>
      <c r="G37" s="62"/>
      <c r="H37" s="62"/>
      <c r="I37" s="62"/>
      <c r="J37" s="62"/>
      <c r="K37" s="63"/>
      <c r="L37" s="64"/>
      <c r="M37" s="62"/>
      <c r="N37" s="63"/>
      <c r="O37" s="64"/>
      <c r="P37" s="62"/>
      <c r="Q37" s="63"/>
      <c r="R37" s="65"/>
      <c r="S37" s="62"/>
      <c r="T37" s="66"/>
    </row>
    <row r="38" spans="3:20" ht="15" customHeight="1">
      <c r="C38" s="5"/>
      <c r="D38" s="53" t="s">
        <v>17</v>
      </c>
      <c r="E38" s="47" t="s">
        <v>69</v>
      </c>
      <c r="F38" s="56"/>
      <c r="G38" s="62"/>
      <c r="H38" s="62"/>
      <c r="I38" s="62"/>
      <c r="J38" s="62"/>
      <c r="K38" s="63"/>
      <c r="L38" s="64"/>
      <c r="M38" s="62"/>
      <c r="N38" s="63"/>
      <c r="O38" s="64"/>
      <c r="P38" s="62"/>
      <c r="Q38" s="63"/>
      <c r="R38" s="65"/>
      <c r="S38" s="62"/>
      <c r="T38" s="66"/>
    </row>
    <row r="39" spans="3:20" ht="15" customHeight="1">
      <c r="C39" s="5"/>
      <c r="D39" s="53" t="s">
        <v>70</v>
      </c>
      <c r="E39" s="47" t="s">
        <v>71</v>
      </c>
      <c r="F39" s="56"/>
      <c r="G39" s="62"/>
      <c r="H39" s="62"/>
      <c r="I39" s="62"/>
      <c r="J39" s="62"/>
      <c r="K39" s="63"/>
      <c r="L39" s="64"/>
      <c r="M39" s="62"/>
      <c r="N39" s="63"/>
      <c r="O39" s="64"/>
      <c r="P39" s="62"/>
      <c r="Q39" s="63"/>
      <c r="R39" s="65"/>
      <c r="S39" s="62"/>
      <c r="T39" s="66"/>
    </row>
    <row r="40" spans="3:20" ht="15" customHeight="1">
      <c r="C40" s="5"/>
      <c r="D40" s="53" t="s">
        <v>51</v>
      </c>
      <c r="E40" s="47" t="s">
        <v>72</v>
      </c>
      <c r="F40" s="56"/>
      <c r="G40" s="62"/>
      <c r="H40" s="62"/>
      <c r="I40" s="62"/>
      <c r="J40" s="62"/>
      <c r="K40" s="63"/>
      <c r="L40" s="64"/>
      <c r="M40" s="62"/>
      <c r="N40" s="63"/>
      <c r="O40" s="64"/>
      <c r="P40" s="62"/>
      <c r="Q40" s="63"/>
      <c r="R40" s="65"/>
      <c r="S40" s="62"/>
      <c r="T40" s="66"/>
    </row>
    <row r="41" spans="3:20" ht="15" customHeight="1">
      <c r="C41" s="5"/>
      <c r="D41" s="53" t="s">
        <v>52</v>
      </c>
      <c r="E41" s="47" t="s">
        <v>73</v>
      </c>
      <c r="F41" s="56"/>
      <c r="G41" s="62"/>
      <c r="H41" s="62"/>
      <c r="I41" s="62"/>
      <c r="J41" s="62"/>
      <c r="K41" s="63"/>
      <c r="L41" s="64"/>
      <c r="M41" s="62"/>
      <c r="N41" s="63"/>
      <c r="O41" s="64"/>
      <c r="P41" s="62"/>
      <c r="Q41" s="63"/>
      <c r="R41" s="65"/>
      <c r="S41" s="62"/>
      <c r="T41" s="66"/>
    </row>
    <row r="42" spans="3:20" ht="22.5">
      <c r="C42" s="5"/>
      <c r="D42" s="53" t="s">
        <v>74</v>
      </c>
      <c r="E42" s="47" t="s">
        <v>75</v>
      </c>
      <c r="F42" s="56"/>
      <c r="G42" s="62"/>
      <c r="H42" s="62"/>
      <c r="I42" s="62"/>
      <c r="J42" s="62"/>
      <c r="K42" s="63"/>
      <c r="L42" s="64"/>
      <c r="M42" s="62"/>
      <c r="N42" s="63"/>
      <c r="O42" s="64"/>
      <c r="P42" s="62"/>
      <c r="Q42" s="63"/>
      <c r="R42" s="65"/>
      <c r="S42" s="62"/>
      <c r="T42" s="66"/>
    </row>
    <row r="43" spans="3:20" ht="15" customHeight="1">
      <c r="C43" s="5"/>
      <c r="D43" s="53" t="s">
        <v>51</v>
      </c>
      <c r="E43" s="47" t="s">
        <v>76</v>
      </c>
      <c r="F43" s="56"/>
      <c r="G43" s="62"/>
      <c r="H43" s="62"/>
      <c r="I43" s="62"/>
      <c r="J43" s="62"/>
      <c r="K43" s="63"/>
      <c r="L43" s="64"/>
      <c r="M43" s="62"/>
      <c r="N43" s="63"/>
      <c r="O43" s="64"/>
      <c r="P43" s="62"/>
      <c r="Q43" s="63"/>
      <c r="R43" s="65"/>
      <c r="S43" s="62"/>
      <c r="T43" s="66"/>
    </row>
    <row r="44" spans="3:20" ht="15" customHeight="1">
      <c r="C44" s="5"/>
      <c r="D44" s="53" t="s">
        <v>52</v>
      </c>
      <c r="E44" s="47" t="s">
        <v>77</v>
      </c>
      <c r="F44" s="56"/>
      <c r="G44" s="62"/>
      <c r="H44" s="62"/>
      <c r="I44" s="62"/>
      <c r="J44" s="62"/>
      <c r="K44" s="63"/>
      <c r="L44" s="64"/>
      <c r="M44" s="62"/>
      <c r="N44" s="63"/>
      <c r="O44" s="64"/>
      <c r="P44" s="62"/>
      <c r="Q44" s="63"/>
      <c r="R44" s="65"/>
      <c r="S44" s="62"/>
      <c r="T44" s="66"/>
    </row>
    <row r="45" spans="3:20" ht="15" customHeight="1">
      <c r="C45" s="5"/>
      <c r="D45" s="53" t="s">
        <v>78</v>
      </c>
      <c r="E45" s="47" t="s">
        <v>79</v>
      </c>
      <c r="F45" s="56"/>
      <c r="G45" s="62"/>
      <c r="H45" s="62"/>
      <c r="I45" s="62"/>
      <c r="J45" s="62"/>
      <c r="K45" s="63"/>
      <c r="L45" s="64"/>
      <c r="M45" s="62"/>
      <c r="N45" s="63"/>
      <c r="O45" s="64"/>
      <c r="P45" s="62"/>
      <c r="Q45" s="63"/>
      <c r="R45" s="65"/>
      <c r="S45" s="62"/>
      <c r="T45" s="66"/>
    </row>
    <row r="46" spans="3:20" ht="15" customHeight="1">
      <c r="C46" s="5"/>
      <c r="D46" s="53" t="s">
        <v>51</v>
      </c>
      <c r="E46" s="47" t="s">
        <v>80</v>
      </c>
      <c r="F46" s="56"/>
      <c r="G46" s="62"/>
      <c r="H46" s="62"/>
      <c r="I46" s="62"/>
      <c r="J46" s="62"/>
      <c r="K46" s="63"/>
      <c r="L46" s="64"/>
      <c r="M46" s="62"/>
      <c r="N46" s="63"/>
      <c r="O46" s="64"/>
      <c r="P46" s="62"/>
      <c r="Q46" s="63"/>
      <c r="R46" s="65"/>
      <c r="S46" s="62"/>
      <c r="T46" s="66"/>
    </row>
    <row r="47" spans="3:20" ht="15" customHeight="1">
      <c r="C47" s="5"/>
      <c r="D47" s="53" t="s">
        <v>52</v>
      </c>
      <c r="E47" s="47" t="s">
        <v>81</v>
      </c>
      <c r="F47" s="56"/>
      <c r="G47" s="62"/>
      <c r="H47" s="62"/>
      <c r="I47" s="62"/>
      <c r="J47" s="62"/>
      <c r="K47" s="63"/>
      <c r="L47" s="64"/>
      <c r="M47" s="62"/>
      <c r="N47" s="63"/>
      <c r="O47" s="64"/>
      <c r="P47" s="62"/>
      <c r="Q47" s="63"/>
      <c r="R47" s="65"/>
      <c r="S47" s="62"/>
      <c r="T47" s="66"/>
    </row>
    <row r="48" spans="3:20" ht="22.5">
      <c r="C48" s="5"/>
      <c r="D48" s="53" t="s">
        <v>82</v>
      </c>
      <c r="E48" s="47" t="s">
        <v>83</v>
      </c>
      <c r="F48" s="56"/>
      <c r="G48" s="62"/>
      <c r="H48" s="62"/>
      <c r="I48" s="62"/>
      <c r="J48" s="62"/>
      <c r="K48" s="63"/>
      <c r="L48" s="64"/>
      <c r="M48" s="62"/>
      <c r="N48" s="63"/>
      <c r="O48" s="64"/>
      <c r="P48" s="62"/>
      <c r="Q48" s="63"/>
      <c r="R48" s="65"/>
      <c r="S48" s="62"/>
      <c r="T48" s="66"/>
    </row>
    <row r="49" spans="3:20" ht="15" customHeight="1">
      <c r="C49" s="5"/>
      <c r="D49" s="53" t="s">
        <v>51</v>
      </c>
      <c r="E49" s="47" t="s">
        <v>84</v>
      </c>
      <c r="F49" s="56"/>
      <c r="G49" s="62"/>
      <c r="H49" s="62"/>
      <c r="I49" s="62"/>
      <c r="J49" s="62"/>
      <c r="K49" s="63"/>
      <c r="L49" s="64"/>
      <c r="M49" s="62"/>
      <c r="N49" s="63"/>
      <c r="O49" s="64"/>
      <c r="P49" s="62"/>
      <c r="Q49" s="63"/>
      <c r="R49" s="65"/>
      <c r="S49" s="62"/>
      <c r="T49" s="66"/>
    </row>
    <row r="50" spans="3:20" ht="15" customHeight="1">
      <c r="C50" s="5"/>
      <c r="D50" s="53" t="s">
        <v>52</v>
      </c>
      <c r="E50" s="47" t="s">
        <v>85</v>
      </c>
      <c r="F50" s="56"/>
      <c r="G50" s="62"/>
      <c r="H50" s="62"/>
      <c r="I50" s="62"/>
      <c r="J50" s="62"/>
      <c r="K50" s="63"/>
      <c r="L50" s="64"/>
      <c r="M50" s="62"/>
      <c r="N50" s="63"/>
      <c r="O50" s="64"/>
      <c r="P50" s="62"/>
      <c r="Q50" s="63"/>
      <c r="R50" s="65"/>
      <c r="S50" s="62"/>
      <c r="T50" s="66"/>
    </row>
    <row r="51" spans="3:20" ht="33.75">
      <c r="C51" s="5"/>
      <c r="D51" s="53" t="s">
        <v>86</v>
      </c>
      <c r="E51" s="47" t="s">
        <v>87</v>
      </c>
      <c r="F51" s="56"/>
      <c r="G51" s="62"/>
      <c r="H51" s="62"/>
      <c r="I51" s="62"/>
      <c r="J51" s="62"/>
      <c r="K51" s="63"/>
      <c r="L51" s="64"/>
      <c r="M51" s="62"/>
      <c r="N51" s="63"/>
      <c r="O51" s="64"/>
      <c r="P51" s="62"/>
      <c r="Q51" s="63"/>
      <c r="R51" s="65"/>
      <c r="S51" s="62"/>
      <c r="T51" s="66"/>
    </row>
    <row r="52" spans="3:20" ht="15" customHeight="1">
      <c r="C52" s="5"/>
      <c r="D52" s="53" t="s">
        <v>51</v>
      </c>
      <c r="E52" s="47" t="s">
        <v>88</v>
      </c>
      <c r="F52" s="56"/>
      <c r="G52" s="62"/>
      <c r="H52" s="62"/>
      <c r="I52" s="62"/>
      <c r="J52" s="62"/>
      <c r="K52" s="63"/>
      <c r="L52" s="64"/>
      <c r="M52" s="62"/>
      <c r="N52" s="63"/>
      <c r="O52" s="64"/>
      <c r="P52" s="62"/>
      <c r="Q52" s="63"/>
      <c r="R52" s="65"/>
      <c r="S52" s="62"/>
      <c r="T52" s="66"/>
    </row>
    <row r="53" spans="3:20" ht="15" customHeight="1">
      <c r="C53" s="5"/>
      <c r="D53" s="53" t="s">
        <v>52</v>
      </c>
      <c r="E53" s="47" t="s">
        <v>89</v>
      </c>
      <c r="F53" s="56"/>
      <c r="G53" s="62"/>
      <c r="H53" s="62"/>
      <c r="I53" s="62"/>
      <c r="J53" s="62"/>
      <c r="K53" s="63"/>
      <c r="L53" s="64"/>
      <c r="M53" s="62"/>
      <c r="N53" s="63"/>
      <c r="O53" s="64"/>
      <c r="P53" s="62"/>
      <c r="Q53" s="63"/>
      <c r="R53" s="65"/>
      <c r="S53" s="62"/>
      <c r="T53" s="66"/>
    </row>
    <row r="54" spans="3:20" ht="15" customHeight="1">
      <c r="C54" s="5"/>
      <c r="D54" s="53" t="s">
        <v>90</v>
      </c>
      <c r="E54" s="47" t="s">
        <v>91</v>
      </c>
      <c r="F54" s="56"/>
      <c r="G54" s="62"/>
      <c r="H54" s="62"/>
      <c r="I54" s="62"/>
      <c r="J54" s="62"/>
      <c r="K54" s="63"/>
      <c r="L54" s="64"/>
      <c r="M54" s="62"/>
      <c r="N54" s="63"/>
      <c r="O54" s="64"/>
      <c r="P54" s="62"/>
      <c r="Q54" s="63"/>
      <c r="R54" s="65"/>
      <c r="S54" s="62"/>
      <c r="T54" s="66"/>
    </row>
    <row r="55" spans="3:20" ht="15" customHeight="1">
      <c r="C55" s="5"/>
      <c r="D55" s="53" t="s">
        <v>51</v>
      </c>
      <c r="E55" s="47" t="s">
        <v>92</v>
      </c>
      <c r="F55" s="56"/>
      <c r="G55" s="62"/>
      <c r="H55" s="62"/>
      <c r="I55" s="62"/>
      <c r="J55" s="62"/>
      <c r="K55" s="63"/>
      <c r="L55" s="64"/>
      <c r="M55" s="62"/>
      <c r="N55" s="63"/>
      <c r="O55" s="64"/>
      <c r="P55" s="62"/>
      <c r="Q55" s="63"/>
      <c r="R55" s="65"/>
      <c r="S55" s="62"/>
      <c r="T55" s="66"/>
    </row>
    <row r="56" spans="3:20" ht="15" customHeight="1">
      <c r="C56" s="5"/>
      <c r="D56" s="53" t="s">
        <v>52</v>
      </c>
      <c r="E56" s="47" t="s">
        <v>93</v>
      </c>
      <c r="F56" s="56"/>
      <c r="G56" s="62"/>
      <c r="H56" s="62"/>
      <c r="I56" s="62"/>
      <c r="J56" s="62"/>
      <c r="K56" s="63"/>
      <c r="L56" s="64"/>
      <c r="M56" s="62"/>
      <c r="N56" s="63"/>
      <c r="O56" s="64"/>
      <c r="P56" s="62"/>
      <c r="Q56" s="63"/>
      <c r="R56" s="65"/>
      <c r="S56" s="62"/>
      <c r="T56" s="66"/>
    </row>
    <row r="57" spans="3:20" ht="56.25">
      <c r="C57" s="5"/>
      <c r="D57" s="53" t="s">
        <v>94</v>
      </c>
      <c r="E57" s="47" t="s">
        <v>95</v>
      </c>
      <c r="F57" s="56"/>
      <c r="G57" s="62"/>
      <c r="H57" s="62"/>
      <c r="I57" s="62"/>
      <c r="J57" s="62"/>
      <c r="K57" s="63"/>
      <c r="L57" s="64"/>
      <c r="M57" s="62"/>
      <c r="N57" s="63"/>
      <c r="O57" s="64"/>
      <c r="P57" s="62"/>
      <c r="Q57" s="63"/>
      <c r="R57" s="65"/>
      <c r="S57" s="62"/>
      <c r="T57" s="66"/>
    </row>
    <row r="58" spans="3:20" ht="15" customHeight="1">
      <c r="C58" s="5"/>
      <c r="D58" s="53" t="s">
        <v>51</v>
      </c>
      <c r="E58" s="47" t="s">
        <v>96</v>
      </c>
      <c r="F58" s="56"/>
      <c r="G58" s="67"/>
      <c r="H58" s="67"/>
      <c r="I58" s="67"/>
      <c r="J58" s="67"/>
      <c r="K58" s="68"/>
      <c r="L58" s="64"/>
      <c r="M58" s="62"/>
      <c r="N58" s="63"/>
      <c r="O58" s="64"/>
      <c r="P58" s="62"/>
      <c r="Q58" s="63"/>
      <c r="R58" s="65"/>
      <c r="S58" s="62"/>
      <c r="T58" s="66"/>
    </row>
    <row r="59" spans="3:20" ht="15" customHeight="1">
      <c r="C59" s="5"/>
      <c r="D59" s="69" t="s">
        <v>52</v>
      </c>
      <c r="E59" s="50" t="s">
        <v>97</v>
      </c>
      <c r="F59" s="70"/>
      <c r="G59" s="67"/>
      <c r="H59" s="67"/>
      <c r="I59" s="67"/>
      <c r="J59" s="67"/>
      <c r="K59" s="68"/>
      <c r="L59" s="71"/>
      <c r="M59" s="67"/>
      <c r="N59" s="68"/>
      <c r="O59" s="71"/>
      <c r="P59" s="67"/>
      <c r="Q59" s="68"/>
      <c r="R59" s="72"/>
      <c r="S59" s="67"/>
      <c r="T59" s="73"/>
    </row>
  </sheetData>
  <mergeCells count="12"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tabSelected="1" workbookViewId="0" topLeftCell="C7">
      <selection activeCell="D8" sqref="D8"/>
    </sheetView>
  </sheetViews>
  <sheetFormatPr defaultColWidth="9.140625" defaultRowHeight="12.75"/>
  <cols>
    <col min="1" max="2" width="9.140625" style="74" hidden="1" customWidth="1"/>
    <col min="3" max="3" width="4.140625" style="74" customWidth="1"/>
    <col min="4" max="4" width="40.7109375" style="74" customWidth="1"/>
    <col min="5" max="5" width="6.7109375" style="74" customWidth="1"/>
    <col min="6" max="10" width="19.7109375" style="74" customWidth="1"/>
    <col min="11" max="16384" width="9.140625" style="74" customWidth="1"/>
  </cols>
  <sheetData>
    <row r="1" ht="11.25" hidden="1"/>
    <row r="2" ht="11.25" hidden="1"/>
    <row r="3" ht="11.25" hidden="1"/>
    <row r="4" spans="1:4" ht="11.25" hidden="1">
      <c r="A4" s="2"/>
      <c r="B4" s="75"/>
      <c r="C4" s="75"/>
      <c r="D4" s="75"/>
    </row>
    <row r="5" ht="11.25" hidden="1">
      <c r="A5" s="4"/>
    </row>
    <row r="6" ht="11.25" hidden="1">
      <c r="A6" s="4"/>
    </row>
    <row r="7" spans="1:10" ht="12" customHeight="1">
      <c r="A7" s="4"/>
      <c r="D7" s="76"/>
      <c r="E7" s="76"/>
      <c r="F7" s="76"/>
      <c r="J7" s="77"/>
    </row>
    <row r="8" spans="1:6" ht="12" customHeight="1">
      <c r="A8" s="4"/>
      <c r="D8" s="6" t="s">
        <v>127</v>
      </c>
      <c r="E8" s="78"/>
      <c r="F8" s="78"/>
    </row>
    <row r="9" spans="1:6" ht="12" customHeight="1">
      <c r="A9" s="4"/>
      <c r="D9" s="13" t="str">
        <f>IF(org="","Не определено",org)</f>
        <v>МП "Салехардэнерго"</v>
      </c>
      <c r="E9" s="76"/>
      <c r="F9" s="76"/>
    </row>
    <row r="10" spans="4:10" ht="12" customHeight="1">
      <c r="D10" s="78"/>
      <c r="E10" s="78"/>
      <c r="F10" s="78"/>
      <c r="G10" s="76"/>
      <c r="H10" s="79"/>
      <c r="I10" s="79"/>
      <c r="J10" s="46" t="s">
        <v>1</v>
      </c>
    </row>
    <row r="11" spans="3:10" ht="66.75" customHeight="1">
      <c r="C11" s="76"/>
      <c r="D11" s="80" t="s">
        <v>98</v>
      </c>
      <c r="E11" s="80" t="s">
        <v>3</v>
      </c>
      <c r="F11" s="80" t="s">
        <v>99</v>
      </c>
      <c r="G11" s="80" t="s">
        <v>100</v>
      </c>
      <c r="H11" s="80" t="s">
        <v>101</v>
      </c>
      <c r="I11" s="80" t="s">
        <v>102</v>
      </c>
      <c r="J11" s="81" t="s">
        <v>103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82">
        <v>7</v>
      </c>
    </row>
    <row r="13" spans="3:10" ht="15" customHeight="1">
      <c r="C13" s="76"/>
      <c r="D13" s="53" t="s">
        <v>104</v>
      </c>
      <c r="E13" s="47">
        <v>300</v>
      </c>
      <c r="F13" s="83">
        <f>F14+F15+F16+F17+F18+F19+F20+F21+F23+F24+F25+F26</f>
        <v>17799.594</v>
      </c>
      <c r="G13" s="83">
        <f>G14+G15+G18+G19+G20+G21+G23+G24+G25+G26</f>
        <v>63972.51498</v>
      </c>
      <c r="H13" s="83">
        <f>H15+H16+H17+H18+H21+H22+H23+H24+H25+H26</f>
        <v>0</v>
      </c>
      <c r="I13" s="83">
        <f>I15+I18+I21+I22+I23+I24+I25+I26</f>
        <v>0</v>
      </c>
      <c r="J13" s="84">
        <f>J16+J17+J18+J21+J23+J24+J25+J26</f>
        <v>0</v>
      </c>
    </row>
    <row r="14" spans="3:10" ht="15" customHeight="1">
      <c r="C14" s="76"/>
      <c r="D14" s="53" t="s">
        <v>105</v>
      </c>
      <c r="E14" s="47">
        <v>301</v>
      </c>
      <c r="F14" s="85"/>
      <c r="G14" s="85"/>
      <c r="H14" s="86" t="s">
        <v>106</v>
      </c>
      <c r="I14" s="86" t="s">
        <v>106</v>
      </c>
      <c r="J14" s="87" t="s">
        <v>106</v>
      </c>
    </row>
    <row r="15" spans="3:10" ht="15" customHeight="1">
      <c r="C15" s="76"/>
      <c r="D15" s="53" t="s">
        <v>107</v>
      </c>
      <c r="E15" s="47">
        <v>302</v>
      </c>
      <c r="F15" s="85"/>
      <c r="G15" s="85"/>
      <c r="H15" s="85"/>
      <c r="I15" s="85"/>
      <c r="J15" s="87" t="s">
        <v>106</v>
      </c>
    </row>
    <row r="16" spans="3:10" ht="15" customHeight="1">
      <c r="C16" s="76"/>
      <c r="D16" s="53" t="s">
        <v>108</v>
      </c>
      <c r="E16" s="47">
        <v>303</v>
      </c>
      <c r="F16" s="85"/>
      <c r="G16" s="86" t="s">
        <v>106</v>
      </c>
      <c r="H16" s="85"/>
      <c r="I16" s="86" t="s">
        <v>106</v>
      </c>
      <c r="J16" s="88"/>
    </row>
    <row r="17" spans="3:10" ht="15" customHeight="1">
      <c r="C17" s="76"/>
      <c r="D17" s="53" t="s">
        <v>109</v>
      </c>
      <c r="E17" s="47">
        <v>304</v>
      </c>
      <c r="F17" s="85"/>
      <c r="G17" s="86" t="s">
        <v>106</v>
      </c>
      <c r="H17" s="85"/>
      <c r="I17" s="86" t="s">
        <v>106</v>
      </c>
      <c r="J17" s="88"/>
    </row>
    <row r="18" spans="3:10" ht="15" customHeight="1">
      <c r="C18" s="76"/>
      <c r="D18" s="53" t="s">
        <v>110</v>
      </c>
      <c r="E18" s="47">
        <v>305</v>
      </c>
      <c r="F18" s="85"/>
      <c r="G18" s="85"/>
      <c r="H18" s="85"/>
      <c r="I18" s="85"/>
      <c r="J18" s="88"/>
    </row>
    <row r="19" spans="3:10" ht="15" customHeight="1">
      <c r="C19" s="76"/>
      <c r="D19" s="53" t="s">
        <v>111</v>
      </c>
      <c r="E19" s="47">
        <v>306</v>
      </c>
      <c r="F19" s="85"/>
      <c r="G19" s="85"/>
      <c r="H19" s="86" t="s">
        <v>106</v>
      </c>
      <c r="I19" s="86" t="s">
        <v>106</v>
      </c>
      <c r="J19" s="87" t="s">
        <v>106</v>
      </c>
    </row>
    <row r="20" spans="3:10" ht="15" customHeight="1">
      <c r="C20" s="76"/>
      <c r="D20" s="53" t="s">
        <v>112</v>
      </c>
      <c r="E20" s="47">
        <v>307</v>
      </c>
      <c r="F20" s="85"/>
      <c r="G20" s="85"/>
      <c r="H20" s="86" t="s">
        <v>106</v>
      </c>
      <c r="I20" s="86" t="s">
        <v>106</v>
      </c>
      <c r="J20" s="87" t="s">
        <v>106</v>
      </c>
    </row>
    <row r="21" spans="3:10" ht="15" customHeight="1">
      <c r="C21" s="76"/>
      <c r="D21" s="53" t="s">
        <v>113</v>
      </c>
      <c r="E21" s="47">
        <v>308</v>
      </c>
      <c r="F21" s="85"/>
      <c r="G21" s="85"/>
      <c r="H21" s="85"/>
      <c r="I21" s="85"/>
      <c r="J21" s="88"/>
    </row>
    <row r="22" spans="3:10" ht="15" customHeight="1">
      <c r="C22" s="76"/>
      <c r="D22" s="53" t="s">
        <v>114</v>
      </c>
      <c r="E22" s="47">
        <v>309</v>
      </c>
      <c r="F22" s="86" t="s">
        <v>106</v>
      </c>
      <c r="G22" s="86" t="s">
        <v>106</v>
      </c>
      <c r="H22" s="85"/>
      <c r="I22" s="85"/>
      <c r="J22" s="87" t="s">
        <v>106</v>
      </c>
    </row>
    <row r="23" spans="3:10" ht="15" customHeight="1">
      <c r="C23" s="76"/>
      <c r="D23" s="53" t="s">
        <v>115</v>
      </c>
      <c r="E23" s="47">
        <v>310</v>
      </c>
      <c r="F23" s="85"/>
      <c r="G23" s="85"/>
      <c r="H23" s="85"/>
      <c r="I23" s="85"/>
      <c r="J23" s="88"/>
    </row>
    <row r="24" spans="3:10" ht="15" customHeight="1">
      <c r="C24" s="76"/>
      <c r="D24" s="53" t="s">
        <v>116</v>
      </c>
      <c r="E24" s="47">
        <v>311</v>
      </c>
      <c r="F24" s="85"/>
      <c r="G24" s="85"/>
      <c r="H24" s="85"/>
      <c r="I24" s="85"/>
      <c r="J24" s="88"/>
    </row>
    <row r="25" spans="3:10" ht="22.5">
      <c r="C25" s="76"/>
      <c r="D25" s="53" t="s">
        <v>117</v>
      </c>
      <c r="E25" s="47">
        <v>312</v>
      </c>
      <c r="F25" s="85">
        <f>17799594/1000</f>
        <v>17799.594</v>
      </c>
      <c r="G25" s="85">
        <f>63972514.98/1000</f>
        <v>63972.51498</v>
      </c>
      <c r="H25" s="85"/>
      <c r="I25" s="85"/>
      <c r="J25" s="88"/>
    </row>
    <row r="26" spans="3:10" ht="22.5">
      <c r="C26" s="76"/>
      <c r="D26" s="53" t="s">
        <v>118</v>
      </c>
      <c r="E26" s="47">
        <v>313</v>
      </c>
      <c r="F26" s="85"/>
      <c r="G26" s="85"/>
      <c r="H26" s="85"/>
      <c r="I26" s="85"/>
      <c r="J26" s="88"/>
    </row>
    <row r="27" spans="3:10" ht="15" customHeight="1">
      <c r="C27" s="76"/>
      <c r="D27" s="53" t="s">
        <v>119</v>
      </c>
      <c r="E27" s="47">
        <v>400</v>
      </c>
      <c r="F27" s="85"/>
      <c r="G27" s="86" t="s">
        <v>106</v>
      </c>
      <c r="H27" s="85"/>
      <c r="I27" s="86" t="s">
        <v>106</v>
      </c>
      <c r="J27" s="87" t="s">
        <v>106</v>
      </c>
    </row>
    <row r="28" spans="3:10" ht="15" customHeight="1">
      <c r="C28" s="76"/>
      <c r="D28" s="53" t="s">
        <v>120</v>
      </c>
      <c r="E28" s="47">
        <v>500</v>
      </c>
      <c r="F28" s="86" t="s">
        <v>106</v>
      </c>
      <c r="G28" s="86" t="s">
        <v>106</v>
      </c>
      <c r="H28" s="85"/>
      <c r="I28" s="85"/>
      <c r="J28" s="87" t="s">
        <v>106</v>
      </c>
    </row>
    <row r="29" spans="3:10" ht="15" customHeight="1">
      <c r="C29" s="76"/>
      <c r="D29" s="53" t="s">
        <v>121</v>
      </c>
      <c r="E29" s="47">
        <v>600</v>
      </c>
      <c r="F29" s="86" t="s">
        <v>106</v>
      </c>
      <c r="G29" s="86" t="s">
        <v>106</v>
      </c>
      <c r="H29" s="85"/>
      <c r="I29" s="86" t="s">
        <v>106</v>
      </c>
      <c r="J29" s="87" t="s">
        <v>106</v>
      </c>
    </row>
    <row r="30" spans="3:10" ht="15" customHeight="1">
      <c r="C30" s="76"/>
      <c r="D30" s="69" t="s">
        <v>122</v>
      </c>
      <c r="E30" s="50">
        <v>700</v>
      </c>
      <c r="F30" s="89" t="s">
        <v>106</v>
      </c>
      <c r="G30" s="89" t="s">
        <v>106</v>
      </c>
      <c r="H30" s="90"/>
      <c r="I30" s="90"/>
      <c r="J30" s="91" t="s">
        <v>106</v>
      </c>
    </row>
  </sheetData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Zonova</cp:lastModifiedBy>
  <dcterms:created xsi:type="dcterms:W3CDTF">1996-10-08T23:32:33Z</dcterms:created>
  <dcterms:modified xsi:type="dcterms:W3CDTF">2014-06-09T10:23:32Z</dcterms:modified>
  <cp:category/>
  <cp:version/>
  <cp:contentType/>
  <cp:contentStatus/>
</cp:coreProperties>
</file>